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C:\Users\Fernando\Downloads\"/>
    </mc:Choice>
  </mc:AlternateContent>
  <xr:revisionPtr revIDLastSave="0" documentId="13_ncr:1_{3B9BC7F9-5105-4B33-84AF-2FEAE01BD495}" xr6:coauthVersionLast="47" xr6:coauthVersionMax="47" xr10:uidLastSave="{00000000-0000-0000-0000-000000000000}"/>
  <bookViews>
    <workbookView xWindow="-120" yWindow="-120" windowWidth="29040" windowHeight="15720" xr2:uid="{00000000-000D-0000-FFFF-FFFF00000000}"/>
  </bookViews>
  <sheets>
    <sheet name="Orçamento Sintético" sheetId="3" r:id="rId1"/>
    <sheet name="Memória de Cálculo" sheetId="1" r:id="rId2"/>
    <sheet name="Orçamento Analítico" sheetId="4" r:id="rId3"/>
    <sheet name="CRONOG" sheetId="5" r:id="rId4"/>
    <sheet name="BDI" sheetId="7" r:id="rId5"/>
    <sheet name="Curva ABC de Insumos" sheetId="6" r:id="rId6"/>
  </sheets>
  <externalReferences>
    <externalReference r:id="rId7"/>
    <externalReference r:id="rId8"/>
    <externalReference r:id="rId9"/>
    <externalReference r:id="rId10"/>
    <externalReference r:id="rId11"/>
    <externalReference r:id="rId12"/>
    <externalReference r:id="rId13"/>
  </externalReferences>
  <definedNames>
    <definedName name="__shared_1_0_0" localSheetId="4">#REF!</definedName>
    <definedName name="__shared_1_0_0" localSheetId="5">#REF!</definedName>
    <definedName name="__shared_1_0_0" localSheetId="2">#REF!</definedName>
    <definedName name="__shared_1_0_0">#REF!</definedName>
    <definedName name="__shared_1_0_1">#N/A</definedName>
    <definedName name="__shared_1_0_10">#N/A</definedName>
    <definedName name="__shared_1_0_100">#N/A</definedName>
    <definedName name="__shared_1_0_101">#N/A</definedName>
    <definedName name="__shared_1_0_102">#N/A</definedName>
    <definedName name="__shared_1_0_103">#N/A</definedName>
    <definedName name="__shared_1_0_104">#N/A</definedName>
    <definedName name="__shared_1_0_105">#N/A</definedName>
    <definedName name="__shared_1_0_106">#N/A</definedName>
    <definedName name="__shared_1_0_107">#N/A</definedName>
    <definedName name="__shared_1_0_108">#N/A</definedName>
    <definedName name="__shared_1_0_109">#N/A</definedName>
    <definedName name="__shared_1_0_11" localSheetId="4">#REF!</definedName>
    <definedName name="__shared_1_0_11" localSheetId="5">#REF!</definedName>
    <definedName name="__shared_1_0_11" localSheetId="2">#REF!</definedName>
    <definedName name="__shared_1_0_11">#REF!</definedName>
    <definedName name="__shared_1_0_110">#N/A</definedName>
    <definedName name="__shared_1_0_111">#N/A</definedName>
    <definedName name="__shared_1_0_112">#N/A</definedName>
    <definedName name="__shared_1_0_113">#N/A</definedName>
    <definedName name="__shared_1_0_114">#N/A</definedName>
    <definedName name="__shared_1_0_115">#N/A</definedName>
    <definedName name="__shared_1_0_116">#N/A</definedName>
    <definedName name="__shared_1_0_117">#N/A</definedName>
    <definedName name="__shared_1_0_118">#N/A</definedName>
    <definedName name="__shared_1_0_119">#N/A</definedName>
    <definedName name="__shared_1_0_12">#N/A</definedName>
    <definedName name="__shared_1_0_120">#N/A</definedName>
    <definedName name="__shared_1_0_121">#N/A</definedName>
    <definedName name="__shared_1_0_122" localSheetId="4">#REF!</definedName>
    <definedName name="__shared_1_0_122" localSheetId="5">#REF!</definedName>
    <definedName name="__shared_1_0_122" localSheetId="2">#REF!</definedName>
    <definedName name="__shared_1_0_122">#REF!</definedName>
    <definedName name="__shared_1_0_123">#N/A</definedName>
    <definedName name="__shared_1_0_124">#N/A</definedName>
    <definedName name="__shared_1_0_125">#N/A</definedName>
    <definedName name="__shared_1_0_126">#N/A</definedName>
    <definedName name="__shared_1_0_127">#N/A</definedName>
    <definedName name="__shared_1_0_128">#N/A</definedName>
    <definedName name="__shared_1_0_129">#N/A</definedName>
    <definedName name="__shared_1_0_13">#N/A</definedName>
    <definedName name="__shared_1_0_130">#N/A</definedName>
    <definedName name="__shared_1_0_131">#N/A</definedName>
    <definedName name="__shared_1_0_132">#N/A</definedName>
    <definedName name="__shared_1_0_133">#N/A</definedName>
    <definedName name="__shared_1_0_134">#N/A</definedName>
    <definedName name="__shared_1_0_135">#N/A</definedName>
    <definedName name="__shared_1_0_136">#N/A</definedName>
    <definedName name="__shared_1_0_137">#N/A</definedName>
    <definedName name="__shared_1_0_138">#N/A</definedName>
    <definedName name="__shared_1_0_139" localSheetId="4">#REF!</definedName>
    <definedName name="__shared_1_0_139" localSheetId="5">#REF!</definedName>
    <definedName name="__shared_1_0_139" localSheetId="2">#REF!</definedName>
    <definedName name="__shared_1_0_139">#REF!</definedName>
    <definedName name="__shared_1_0_14">#N/A</definedName>
    <definedName name="__shared_1_0_140">#N/A</definedName>
    <definedName name="__shared_1_0_141">#N/A</definedName>
    <definedName name="__shared_1_0_142">#N/A</definedName>
    <definedName name="__shared_1_0_143">#N/A</definedName>
    <definedName name="__shared_1_0_144">#N/A</definedName>
    <definedName name="__shared_1_0_145">#N/A</definedName>
    <definedName name="__shared_1_0_146">#N/A</definedName>
    <definedName name="__shared_1_0_147">#N/A</definedName>
    <definedName name="__shared_1_0_148">#N/A</definedName>
    <definedName name="__shared_1_0_149">#N/A</definedName>
    <definedName name="__shared_1_0_15">#N/A</definedName>
    <definedName name="__shared_1_0_150">#N/A</definedName>
    <definedName name="__shared_1_0_151" localSheetId="4">#REF!</definedName>
    <definedName name="__shared_1_0_151" localSheetId="5">#REF!</definedName>
    <definedName name="__shared_1_0_151" localSheetId="2">#REF!</definedName>
    <definedName name="__shared_1_0_151">#REF!</definedName>
    <definedName name="__shared_1_0_152">#N/A</definedName>
    <definedName name="__shared_1_0_153">#N/A</definedName>
    <definedName name="__shared_1_0_154">#N/A</definedName>
    <definedName name="__shared_1_0_155">#N/A</definedName>
    <definedName name="__shared_1_0_156">#N/A</definedName>
    <definedName name="__shared_1_0_157">#N/A</definedName>
    <definedName name="__shared_1_0_158">#N/A</definedName>
    <definedName name="__shared_1_0_159">#N/A</definedName>
    <definedName name="__shared_1_0_16">#N/A</definedName>
    <definedName name="__shared_1_0_160">#N/A</definedName>
    <definedName name="__shared_1_0_161">#N/A</definedName>
    <definedName name="__shared_1_0_162">#N/A</definedName>
    <definedName name="__shared_1_0_163" localSheetId="4">#REF!</definedName>
    <definedName name="__shared_1_0_163" localSheetId="5">#REF!</definedName>
    <definedName name="__shared_1_0_163" localSheetId="2">#REF!</definedName>
    <definedName name="__shared_1_0_163">#REF!</definedName>
    <definedName name="__shared_1_0_164">#N/A</definedName>
    <definedName name="__shared_1_0_165">#N/A</definedName>
    <definedName name="__shared_1_0_166">#N/A</definedName>
    <definedName name="__shared_1_0_167">#N/A</definedName>
    <definedName name="__shared_1_0_168">#N/A</definedName>
    <definedName name="__shared_1_0_169">#N/A</definedName>
    <definedName name="__shared_1_0_17">#N/A</definedName>
    <definedName name="__shared_1_0_170">#N/A</definedName>
    <definedName name="__shared_1_0_171">#N/A</definedName>
    <definedName name="__shared_1_0_172">#N/A</definedName>
    <definedName name="__shared_1_0_173">#N/A</definedName>
    <definedName name="__shared_1_0_174">#N/A</definedName>
    <definedName name="__shared_1_0_175">#N/A</definedName>
    <definedName name="__shared_1_0_176" localSheetId="4">#REF!</definedName>
    <definedName name="__shared_1_0_176" localSheetId="5">#REF!</definedName>
    <definedName name="__shared_1_0_176" localSheetId="2">#REF!</definedName>
    <definedName name="__shared_1_0_176">#REF!</definedName>
    <definedName name="__shared_1_0_177">#N/A</definedName>
    <definedName name="__shared_1_0_178">#N/A</definedName>
    <definedName name="__shared_1_0_179">#N/A</definedName>
    <definedName name="__shared_1_0_18">#N/A</definedName>
    <definedName name="__shared_1_0_180">#N/A</definedName>
    <definedName name="__shared_1_0_181">#N/A</definedName>
    <definedName name="__shared_1_0_182">#N/A</definedName>
    <definedName name="__shared_1_0_183">#N/A</definedName>
    <definedName name="__shared_1_0_184">#N/A</definedName>
    <definedName name="__shared_1_0_185">#N/A</definedName>
    <definedName name="__shared_1_0_186">#N/A</definedName>
    <definedName name="__shared_1_0_187" localSheetId="4">#REF!</definedName>
    <definedName name="__shared_1_0_187" localSheetId="5">#REF!</definedName>
    <definedName name="__shared_1_0_187" localSheetId="2">#REF!</definedName>
    <definedName name="__shared_1_0_187">#REF!</definedName>
    <definedName name="__shared_1_0_188">#N/A</definedName>
    <definedName name="__shared_1_0_189">#N/A</definedName>
    <definedName name="__shared_1_0_19">#N/A</definedName>
    <definedName name="__shared_1_0_190">#N/A</definedName>
    <definedName name="__shared_1_0_191">#N/A</definedName>
    <definedName name="__shared_1_0_192">#N/A</definedName>
    <definedName name="__shared_1_0_193">#N/A</definedName>
    <definedName name="__shared_1_0_194">#N/A</definedName>
    <definedName name="__shared_1_0_195">#N/A</definedName>
    <definedName name="__shared_1_0_196">#N/A</definedName>
    <definedName name="__shared_1_0_197">#N/A</definedName>
    <definedName name="__shared_1_0_198" localSheetId="4">#REF!</definedName>
    <definedName name="__shared_1_0_198" localSheetId="5">#REF!</definedName>
    <definedName name="__shared_1_0_198" localSheetId="2">#REF!</definedName>
    <definedName name="__shared_1_0_198">#REF!</definedName>
    <definedName name="__shared_1_0_199">#N/A</definedName>
    <definedName name="__shared_1_0_2">#N/A</definedName>
    <definedName name="__shared_1_0_20">#N/A</definedName>
    <definedName name="__shared_1_0_200">#N/A</definedName>
    <definedName name="__shared_1_0_201">#N/A</definedName>
    <definedName name="__shared_1_0_202">#N/A</definedName>
    <definedName name="__shared_1_0_203">#N/A</definedName>
    <definedName name="__shared_1_0_204">#N/A</definedName>
    <definedName name="__shared_1_0_205">#N/A</definedName>
    <definedName name="__shared_1_0_206">#N/A</definedName>
    <definedName name="__shared_1_0_207">#N/A</definedName>
    <definedName name="__shared_1_0_208">#N/A</definedName>
    <definedName name="__shared_1_0_209" localSheetId="4">#REF!</definedName>
    <definedName name="__shared_1_0_209" localSheetId="5">#REF!</definedName>
    <definedName name="__shared_1_0_209" localSheetId="2">#REF!</definedName>
    <definedName name="__shared_1_0_209">#REF!</definedName>
    <definedName name="__shared_1_0_21">#N/A</definedName>
    <definedName name="__shared_1_0_210">#N/A</definedName>
    <definedName name="__shared_1_0_211">#N/A</definedName>
    <definedName name="__shared_1_0_212">#N/A</definedName>
    <definedName name="__shared_1_0_213">#N/A</definedName>
    <definedName name="__shared_1_0_214">#N/A</definedName>
    <definedName name="__shared_1_0_215">#N/A</definedName>
    <definedName name="__shared_1_0_216">#N/A</definedName>
    <definedName name="__shared_1_0_217">#N/A</definedName>
    <definedName name="__shared_1_0_218">#N/A</definedName>
    <definedName name="__shared_1_0_219">#N/A</definedName>
    <definedName name="__shared_1_0_22" localSheetId="4">#REF!</definedName>
    <definedName name="__shared_1_0_22" localSheetId="5">#REF!</definedName>
    <definedName name="__shared_1_0_22" localSheetId="2">#REF!</definedName>
    <definedName name="__shared_1_0_22">#REF!</definedName>
    <definedName name="__shared_1_0_220">#REF!</definedName>
    <definedName name="__shared_1_0_221">#N/A</definedName>
    <definedName name="__shared_1_0_222">#N/A</definedName>
    <definedName name="__shared_1_0_223">#N/A</definedName>
    <definedName name="__shared_1_0_224">#N/A</definedName>
    <definedName name="__shared_1_0_225">#N/A</definedName>
    <definedName name="__shared_1_0_226">#N/A</definedName>
    <definedName name="__shared_1_0_227">#N/A</definedName>
    <definedName name="__shared_1_0_228">#N/A</definedName>
    <definedName name="__shared_1_0_229">#N/A</definedName>
    <definedName name="__shared_1_0_23">#N/A</definedName>
    <definedName name="__shared_1_0_230">#N/A</definedName>
    <definedName name="__shared_1_0_231">#N/A</definedName>
    <definedName name="__shared_1_0_232" localSheetId="4">#REF!</definedName>
    <definedName name="__shared_1_0_232" localSheetId="5">#REF!</definedName>
    <definedName name="__shared_1_0_232" localSheetId="2">#REF!</definedName>
    <definedName name="__shared_1_0_232">#REF!</definedName>
    <definedName name="__shared_1_0_233">#N/A</definedName>
    <definedName name="__shared_1_0_234">#N/A</definedName>
    <definedName name="__shared_1_0_235">#N/A</definedName>
    <definedName name="__shared_1_0_236">#N/A</definedName>
    <definedName name="__shared_1_0_237">#N/A</definedName>
    <definedName name="__shared_1_0_238">#N/A</definedName>
    <definedName name="__shared_1_0_239">#N/A</definedName>
    <definedName name="__shared_1_0_24">#N/A</definedName>
    <definedName name="__shared_1_0_240">#N/A</definedName>
    <definedName name="__shared_1_0_241">#N/A</definedName>
    <definedName name="__shared_1_0_242">#N/A</definedName>
    <definedName name="__shared_1_0_243" localSheetId="4">#REF!</definedName>
    <definedName name="__shared_1_0_243" localSheetId="5">#REF!</definedName>
    <definedName name="__shared_1_0_243" localSheetId="2">#REF!</definedName>
    <definedName name="__shared_1_0_243">#REF!</definedName>
    <definedName name="__shared_1_0_244">#N/A</definedName>
    <definedName name="__shared_1_0_245">#N/A</definedName>
    <definedName name="__shared_1_0_246">#N/A</definedName>
    <definedName name="__shared_1_0_247">#N/A</definedName>
    <definedName name="__shared_1_0_248">#N/A</definedName>
    <definedName name="__shared_1_0_249">#N/A</definedName>
    <definedName name="__shared_1_0_25">#N/A</definedName>
    <definedName name="__shared_1_0_250">#N/A</definedName>
    <definedName name="__shared_1_0_251">#N/A</definedName>
    <definedName name="__shared_1_0_252">#N/A</definedName>
    <definedName name="__shared_1_0_253">#N/A</definedName>
    <definedName name="__shared_1_0_254" localSheetId="4">#REF!</definedName>
    <definedName name="__shared_1_0_254" localSheetId="5">#REF!</definedName>
    <definedName name="__shared_1_0_254" localSheetId="2">#REF!</definedName>
    <definedName name="__shared_1_0_254">#REF!</definedName>
    <definedName name="__shared_1_0_255">#N/A</definedName>
    <definedName name="__shared_1_0_256">#N/A</definedName>
    <definedName name="__shared_1_0_257">#N/A</definedName>
    <definedName name="__shared_1_0_258">#N/A</definedName>
    <definedName name="__shared_1_0_259">#N/A</definedName>
    <definedName name="__shared_1_0_26">#N/A</definedName>
    <definedName name="__shared_1_0_260">#N/A</definedName>
    <definedName name="__shared_1_0_261">#N/A</definedName>
    <definedName name="__shared_1_0_262">#N/A</definedName>
    <definedName name="__shared_1_0_263">#N/A</definedName>
    <definedName name="__shared_1_0_264">#N/A</definedName>
    <definedName name="__shared_1_0_265" localSheetId="4">#REF!</definedName>
    <definedName name="__shared_1_0_265" localSheetId="5">#REF!</definedName>
    <definedName name="__shared_1_0_265" localSheetId="2">#REF!</definedName>
    <definedName name="__shared_1_0_265">#REF!</definedName>
    <definedName name="__shared_1_0_266">#N/A</definedName>
    <definedName name="__shared_1_0_267">#N/A</definedName>
    <definedName name="__shared_1_0_268">#N/A</definedName>
    <definedName name="__shared_1_0_269">#N/A</definedName>
    <definedName name="__shared_1_0_27">#N/A</definedName>
    <definedName name="__shared_1_0_270">#N/A</definedName>
    <definedName name="__shared_1_0_271">#N/A</definedName>
    <definedName name="__shared_1_0_272">#N/A</definedName>
    <definedName name="__shared_1_0_273">#N/A</definedName>
    <definedName name="__shared_1_0_274">#N/A</definedName>
    <definedName name="__shared_1_0_275">#N/A</definedName>
    <definedName name="__shared_1_0_276" localSheetId="4">#REF!</definedName>
    <definedName name="__shared_1_0_276" localSheetId="5">#REF!</definedName>
    <definedName name="__shared_1_0_276" localSheetId="2">#REF!</definedName>
    <definedName name="__shared_1_0_276">#REF!</definedName>
    <definedName name="__shared_1_0_277">#N/A</definedName>
    <definedName name="__shared_1_0_278">#N/A</definedName>
    <definedName name="__shared_1_0_279">#N/A</definedName>
    <definedName name="__shared_1_0_28">#N/A</definedName>
    <definedName name="__shared_1_0_280">#N/A</definedName>
    <definedName name="__shared_1_0_281">#N/A</definedName>
    <definedName name="__shared_1_0_282">#N/A</definedName>
    <definedName name="__shared_1_0_283">#N/A</definedName>
    <definedName name="__shared_1_0_284">#N/A</definedName>
    <definedName name="__shared_1_0_285">#N/A</definedName>
    <definedName name="__shared_1_0_286">#N/A</definedName>
    <definedName name="__shared_1_0_287" localSheetId="4">#REF!</definedName>
    <definedName name="__shared_1_0_287" localSheetId="5">#REF!</definedName>
    <definedName name="__shared_1_0_287" localSheetId="2">#REF!</definedName>
    <definedName name="__shared_1_0_287">#REF!</definedName>
    <definedName name="__shared_1_0_288">#N/A</definedName>
    <definedName name="__shared_1_0_289">#N/A</definedName>
    <definedName name="__shared_1_0_29">#N/A</definedName>
    <definedName name="__shared_1_0_290">#N/A</definedName>
    <definedName name="__shared_1_0_291">#N/A</definedName>
    <definedName name="__shared_1_0_292">#N/A</definedName>
    <definedName name="__shared_1_0_293">#N/A</definedName>
    <definedName name="__shared_1_0_294">#N/A</definedName>
    <definedName name="__shared_1_0_295">#N/A</definedName>
    <definedName name="__shared_1_0_296">#N/A</definedName>
    <definedName name="__shared_1_0_297">#N/A</definedName>
    <definedName name="__shared_1_0_298" localSheetId="4">#REF!</definedName>
    <definedName name="__shared_1_0_298" localSheetId="5">#REF!</definedName>
    <definedName name="__shared_1_0_298" localSheetId="2">#REF!</definedName>
    <definedName name="__shared_1_0_298">#REF!</definedName>
    <definedName name="__shared_1_0_299">#N/A</definedName>
    <definedName name="__shared_1_0_3">#N/A</definedName>
    <definedName name="__shared_1_0_30">#N/A</definedName>
    <definedName name="__shared_1_0_300">#N/A</definedName>
    <definedName name="__shared_1_0_301">#N/A</definedName>
    <definedName name="__shared_1_0_302">#N/A</definedName>
    <definedName name="__shared_1_0_303">#N/A</definedName>
    <definedName name="__shared_1_0_304">#N/A</definedName>
    <definedName name="__shared_1_0_305">#N/A</definedName>
    <definedName name="__shared_1_0_306">#N/A</definedName>
    <definedName name="__shared_1_0_307">#N/A</definedName>
    <definedName name="__shared_1_0_308">#N/A</definedName>
    <definedName name="__shared_1_0_309" localSheetId="4">#REF!</definedName>
    <definedName name="__shared_1_0_309" localSheetId="5">#REF!</definedName>
    <definedName name="__shared_1_0_309" localSheetId="2">#REF!</definedName>
    <definedName name="__shared_1_0_309">#REF!</definedName>
    <definedName name="__shared_1_0_31">#N/A</definedName>
    <definedName name="__shared_1_0_310">#N/A</definedName>
    <definedName name="__shared_1_0_311">#N/A</definedName>
    <definedName name="__shared_1_0_312">#N/A</definedName>
    <definedName name="__shared_1_0_313">#N/A</definedName>
    <definedName name="__shared_1_0_314">#N/A</definedName>
    <definedName name="__shared_1_0_315">#N/A</definedName>
    <definedName name="__shared_1_0_316">#N/A</definedName>
    <definedName name="__shared_1_0_317">#N/A</definedName>
    <definedName name="__shared_1_0_318">#N/A</definedName>
    <definedName name="__shared_1_0_319">#N/A</definedName>
    <definedName name="__shared_1_0_32">#N/A</definedName>
    <definedName name="__shared_1_0_320" localSheetId="4">#REF!</definedName>
    <definedName name="__shared_1_0_320" localSheetId="5">#REF!</definedName>
    <definedName name="__shared_1_0_320" localSheetId="2">#REF!</definedName>
    <definedName name="__shared_1_0_320">#REF!</definedName>
    <definedName name="__shared_1_0_321">#N/A</definedName>
    <definedName name="__shared_1_0_322">#N/A</definedName>
    <definedName name="__shared_1_0_323">#N/A</definedName>
    <definedName name="__shared_1_0_324">#N/A</definedName>
    <definedName name="__shared_1_0_325">#N/A</definedName>
    <definedName name="__shared_1_0_326">#N/A</definedName>
    <definedName name="__shared_1_0_327">#N/A</definedName>
    <definedName name="__shared_1_0_328">#N/A</definedName>
    <definedName name="__shared_1_0_329">#N/A</definedName>
    <definedName name="__shared_1_0_33" localSheetId="4">#REF!</definedName>
    <definedName name="__shared_1_0_33" localSheetId="5">#REF!</definedName>
    <definedName name="__shared_1_0_33" localSheetId="2">#REF!</definedName>
    <definedName name="__shared_1_0_33">#REF!</definedName>
    <definedName name="__shared_1_0_330">#N/A</definedName>
    <definedName name="__shared_1_0_331" localSheetId="4">#REF!</definedName>
    <definedName name="__shared_1_0_331" localSheetId="5">#REF!</definedName>
    <definedName name="__shared_1_0_331" localSheetId="2">#REF!</definedName>
    <definedName name="__shared_1_0_331">#REF!</definedName>
    <definedName name="__shared_1_0_332">#N/A</definedName>
    <definedName name="__shared_1_0_333">#N/A</definedName>
    <definedName name="__shared_1_0_334">#N/A</definedName>
    <definedName name="__shared_1_0_335">#N/A</definedName>
    <definedName name="__shared_1_0_336">#N/A</definedName>
    <definedName name="__shared_1_0_337">#N/A</definedName>
    <definedName name="__shared_1_0_338">#N/A</definedName>
    <definedName name="__shared_1_0_339">#N/A</definedName>
    <definedName name="__shared_1_0_34">#N/A</definedName>
    <definedName name="__shared_1_0_340">#N/A</definedName>
    <definedName name="__shared_1_0_341">#N/A</definedName>
    <definedName name="__shared_1_0_342" localSheetId="4">#REF!</definedName>
    <definedName name="__shared_1_0_342" localSheetId="5">#REF!</definedName>
    <definedName name="__shared_1_0_342" localSheetId="2">#REF!</definedName>
    <definedName name="__shared_1_0_342">#REF!</definedName>
    <definedName name="__shared_1_0_342_1">#REF!</definedName>
    <definedName name="__shared_1_0_343">#N/A</definedName>
    <definedName name="__shared_1_0_344">#N/A</definedName>
    <definedName name="__shared_1_0_345">#N/A</definedName>
    <definedName name="__shared_1_0_346">#N/A</definedName>
    <definedName name="__shared_1_0_347">#N/A</definedName>
    <definedName name="__shared_1_0_348">#N/A</definedName>
    <definedName name="__shared_1_0_349">#N/A</definedName>
    <definedName name="__shared_1_0_35">#N/A</definedName>
    <definedName name="__shared_1_0_350">#N/A</definedName>
    <definedName name="__shared_1_0_351">#N/A</definedName>
    <definedName name="__shared_1_0_352">#N/A</definedName>
    <definedName name="__shared_1_0_353" localSheetId="4">#REF!</definedName>
    <definedName name="__shared_1_0_353" localSheetId="5">#REF!</definedName>
    <definedName name="__shared_1_0_353" localSheetId="2">#REF!</definedName>
    <definedName name="__shared_1_0_353">#REF!</definedName>
    <definedName name="__shared_1_0_354">#N/A</definedName>
    <definedName name="__shared_1_0_355">#N/A</definedName>
    <definedName name="__shared_1_0_356">#N/A</definedName>
    <definedName name="__shared_1_0_357">#N/A</definedName>
    <definedName name="__shared_1_0_358">#N/A</definedName>
    <definedName name="__shared_1_0_359">#N/A</definedName>
    <definedName name="__shared_1_0_36">#N/A</definedName>
    <definedName name="__shared_1_0_360">#N/A</definedName>
    <definedName name="__shared_1_0_361">#N/A</definedName>
    <definedName name="__shared_1_0_362">#N/A</definedName>
    <definedName name="__shared_1_0_363">#N/A</definedName>
    <definedName name="__shared_1_0_364" localSheetId="4">#REF!</definedName>
    <definedName name="__shared_1_0_364" localSheetId="5">#REF!</definedName>
    <definedName name="__shared_1_0_364" localSheetId="2">#REF!</definedName>
    <definedName name="__shared_1_0_364">#REF!</definedName>
    <definedName name="__shared_1_0_365">#N/A</definedName>
    <definedName name="__shared_1_0_366">#N/A</definedName>
    <definedName name="__shared_1_0_367">#N/A</definedName>
    <definedName name="__shared_1_0_368">#N/A</definedName>
    <definedName name="__shared_1_0_369">#N/A</definedName>
    <definedName name="__shared_1_0_37">#N/A</definedName>
    <definedName name="__shared_1_0_370">#N/A</definedName>
    <definedName name="__shared_1_0_371">#N/A</definedName>
    <definedName name="__shared_1_0_372">#N/A</definedName>
    <definedName name="__shared_1_0_373">#N/A</definedName>
    <definedName name="__shared_1_0_374">#N/A</definedName>
    <definedName name="__shared_1_0_375" localSheetId="4">#REF!</definedName>
    <definedName name="__shared_1_0_375" localSheetId="5">#REF!</definedName>
    <definedName name="__shared_1_0_375" localSheetId="2">#REF!</definedName>
    <definedName name="__shared_1_0_375">#REF!</definedName>
    <definedName name="__shared_1_0_376">#N/A</definedName>
    <definedName name="__shared_1_0_377">#N/A</definedName>
    <definedName name="__shared_1_0_378">#N/A</definedName>
    <definedName name="__shared_1_0_379">#N/A</definedName>
    <definedName name="__shared_1_0_38">#N/A</definedName>
    <definedName name="__shared_1_0_380">#N/A</definedName>
    <definedName name="__shared_1_0_381">#N/A</definedName>
    <definedName name="__shared_1_0_382">#N/A</definedName>
    <definedName name="__shared_1_0_383">#N/A</definedName>
    <definedName name="__shared_1_0_384">#N/A</definedName>
    <definedName name="__shared_1_0_385">#N/A</definedName>
    <definedName name="__shared_1_0_386" localSheetId="4">#REF!</definedName>
    <definedName name="__shared_1_0_386" localSheetId="5">#REF!</definedName>
    <definedName name="__shared_1_0_386" localSheetId="2">#REF!</definedName>
    <definedName name="__shared_1_0_386">#REF!</definedName>
    <definedName name="__shared_1_0_387">#N/A</definedName>
    <definedName name="__shared_1_0_388">#N/A</definedName>
    <definedName name="__shared_1_0_389">#N/A</definedName>
    <definedName name="__shared_1_0_39">#N/A</definedName>
    <definedName name="__shared_1_0_390">#N/A</definedName>
    <definedName name="__shared_1_0_391">#N/A</definedName>
    <definedName name="__shared_1_0_392">#N/A</definedName>
    <definedName name="__shared_1_0_393">#N/A</definedName>
    <definedName name="__shared_1_0_394">#N/A</definedName>
    <definedName name="__shared_1_0_395">#N/A</definedName>
    <definedName name="__shared_1_0_396">#N/A</definedName>
    <definedName name="__shared_1_0_397" localSheetId="4">#REF!</definedName>
    <definedName name="__shared_1_0_397" localSheetId="5">#REF!</definedName>
    <definedName name="__shared_1_0_397" localSheetId="2">#REF!</definedName>
    <definedName name="__shared_1_0_397">#REF!</definedName>
    <definedName name="__shared_1_0_398">#N/A</definedName>
    <definedName name="__shared_1_0_399">#N/A</definedName>
    <definedName name="__shared_1_0_4">#N/A</definedName>
    <definedName name="__shared_1_0_40">#N/A</definedName>
    <definedName name="__shared_1_0_400">#N/A</definedName>
    <definedName name="__shared_1_0_401">#N/A</definedName>
    <definedName name="__shared_1_0_402">#N/A</definedName>
    <definedName name="__shared_1_0_403">#N/A</definedName>
    <definedName name="__shared_1_0_404">#N/A</definedName>
    <definedName name="__shared_1_0_405">#N/A</definedName>
    <definedName name="__shared_1_0_406">#N/A</definedName>
    <definedName name="__shared_1_0_407">#N/A</definedName>
    <definedName name="__shared_1_0_408" localSheetId="4">#REF!</definedName>
    <definedName name="__shared_1_0_408" localSheetId="5">#REF!</definedName>
    <definedName name="__shared_1_0_408" localSheetId="2">#REF!</definedName>
    <definedName name="__shared_1_0_408">#REF!</definedName>
    <definedName name="__shared_1_0_409">#N/A</definedName>
    <definedName name="__shared_1_0_41">#N/A</definedName>
    <definedName name="__shared_1_0_410">#N/A</definedName>
    <definedName name="__shared_1_0_411">#N/A</definedName>
    <definedName name="__shared_1_0_412">#N/A</definedName>
    <definedName name="__shared_1_0_413">#N/A</definedName>
    <definedName name="__shared_1_0_414">#N/A</definedName>
    <definedName name="__shared_1_0_415">#N/A</definedName>
    <definedName name="__shared_1_0_416">#N/A</definedName>
    <definedName name="__shared_1_0_417">#N/A</definedName>
    <definedName name="__shared_1_0_418">#N/A</definedName>
    <definedName name="__shared_1_0_419" localSheetId="4">#REF!</definedName>
    <definedName name="__shared_1_0_419" localSheetId="5">#REF!</definedName>
    <definedName name="__shared_1_0_419" localSheetId="2">#REF!</definedName>
    <definedName name="__shared_1_0_419">#REF!</definedName>
    <definedName name="__shared_1_0_42">#N/A</definedName>
    <definedName name="__shared_1_0_420">#N/A</definedName>
    <definedName name="__shared_1_0_421">#N/A</definedName>
    <definedName name="__shared_1_0_422">#N/A</definedName>
    <definedName name="__shared_1_0_423">#N/A</definedName>
    <definedName name="__shared_1_0_424">#N/A</definedName>
    <definedName name="__shared_1_0_425">#N/A</definedName>
    <definedName name="__shared_1_0_426">#N/A</definedName>
    <definedName name="__shared_1_0_427">#N/A</definedName>
    <definedName name="__shared_1_0_428">#N/A</definedName>
    <definedName name="__shared_1_0_429">#N/A</definedName>
    <definedName name="__shared_1_0_43">#N/A</definedName>
    <definedName name="__shared_1_0_430" localSheetId="4">#REF!</definedName>
    <definedName name="__shared_1_0_430" localSheetId="5">#REF!</definedName>
    <definedName name="__shared_1_0_430" localSheetId="2">#REF!</definedName>
    <definedName name="__shared_1_0_430">#REF!</definedName>
    <definedName name="__shared_1_0_431">#N/A</definedName>
    <definedName name="__shared_1_0_432">#N/A</definedName>
    <definedName name="__shared_1_0_433">#N/A</definedName>
    <definedName name="__shared_1_0_434">#N/A</definedName>
    <definedName name="__shared_1_0_435">#N/A</definedName>
    <definedName name="__shared_1_0_436">#N/A</definedName>
    <definedName name="__shared_1_0_437">#N/A</definedName>
    <definedName name="__shared_1_0_438">#N/A</definedName>
    <definedName name="__shared_1_0_439">#N/A</definedName>
    <definedName name="__shared_1_0_44" localSheetId="4">#REF!</definedName>
    <definedName name="__shared_1_0_44" localSheetId="5">#REF!</definedName>
    <definedName name="__shared_1_0_44" localSheetId="2">#REF!</definedName>
    <definedName name="__shared_1_0_44">#REF!</definedName>
    <definedName name="__shared_1_0_440">#N/A</definedName>
    <definedName name="__shared_1_0_441" localSheetId="4">#REF!</definedName>
    <definedName name="__shared_1_0_441" localSheetId="5">#REF!</definedName>
    <definedName name="__shared_1_0_441" localSheetId="2">#REF!</definedName>
    <definedName name="__shared_1_0_441">#REF!</definedName>
    <definedName name="__shared_1_0_442">#N/A</definedName>
    <definedName name="__shared_1_0_443">#N/A</definedName>
    <definedName name="__shared_1_0_444">#N/A</definedName>
    <definedName name="__shared_1_0_445">#N/A</definedName>
    <definedName name="__shared_1_0_446">#N/A</definedName>
    <definedName name="__shared_1_0_447">#N/A</definedName>
    <definedName name="__shared_1_0_448">#N/A</definedName>
    <definedName name="__shared_1_0_449">#N/A</definedName>
    <definedName name="__shared_1_0_45">#N/A</definedName>
    <definedName name="__shared_1_0_450">#N/A</definedName>
    <definedName name="__shared_1_0_451">#N/A</definedName>
    <definedName name="__shared_1_0_452">#N/A</definedName>
    <definedName name="__shared_1_0_453">#N/A</definedName>
    <definedName name="__shared_1_0_454" localSheetId="4">#REF!</definedName>
    <definedName name="__shared_1_0_454" localSheetId="5">#REF!</definedName>
    <definedName name="__shared_1_0_454" localSheetId="2">#REF!</definedName>
    <definedName name="__shared_1_0_454">#REF!</definedName>
    <definedName name="__shared_1_0_455">#N/A</definedName>
    <definedName name="__shared_1_0_456">#N/A</definedName>
    <definedName name="__shared_1_0_457">#N/A</definedName>
    <definedName name="__shared_1_0_458">#N/A</definedName>
    <definedName name="__shared_1_0_459">#N/A</definedName>
    <definedName name="__shared_1_0_46">#N/A</definedName>
    <definedName name="__shared_1_0_460">#N/A</definedName>
    <definedName name="__shared_1_0_461">#N/A</definedName>
    <definedName name="__shared_1_0_462">#N/A</definedName>
    <definedName name="__shared_1_0_463">#N/A</definedName>
    <definedName name="__shared_1_0_464">#N/A</definedName>
    <definedName name="__shared_1_0_465" localSheetId="4">#REF!</definedName>
    <definedName name="__shared_1_0_465" localSheetId="5">#REF!</definedName>
    <definedName name="__shared_1_0_465" localSheetId="2">#REF!</definedName>
    <definedName name="__shared_1_0_465">#REF!</definedName>
    <definedName name="__shared_1_0_466">#N/A</definedName>
    <definedName name="__shared_1_0_467">#N/A</definedName>
    <definedName name="__shared_1_0_468">#N/A</definedName>
    <definedName name="__shared_1_0_469">#N/A</definedName>
    <definedName name="__shared_1_0_47">#N/A</definedName>
    <definedName name="__shared_1_0_470">#N/A</definedName>
    <definedName name="__shared_1_0_471">#N/A</definedName>
    <definedName name="__shared_1_0_472">#N/A</definedName>
    <definedName name="__shared_1_0_473">#N/A</definedName>
    <definedName name="__shared_1_0_474">#N/A</definedName>
    <definedName name="__shared_1_0_475">#N/A</definedName>
    <definedName name="__shared_1_0_476">#N/A</definedName>
    <definedName name="__shared_1_0_477" localSheetId="4">#REF!</definedName>
    <definedName name="__shared_1_0_477" localSheetId="5">#REF!</definedName>
    <definedName name="__shared_1_0_477" localSheetId="2">#REF!</definedName>
    <definedName name="__shared_1_0_477">#REF!</definedName>
    <definedName name="__shared_1_0_478">#N/A</definedName>
    <definedName name="__shared_1_0_479">#N/A</definedName>
    <definedName name="__shared_1_0_48">#N/A</definedName>
    <definedName name="__shared_1_0_480">#N/A</definedName>
    <definedName name="__shared_1_0_481">#N/A</definedName>
    <definedName name="__shared_1_0_482">#N/A</definedName>
    <definedName name="__shared_1_0_483">#N/A</definedName>
    <definedName name="__shared_1_0_484">#N/A</definedName>
    <definedName name="__shared_1_0_485">#N/A</definedName>
    <definedName name="__shared_1_0_486">#N/A</definedName>
    <definedName name="__shared_1_0_487">#N/A</definedName>
    <definedName name="__shared_1_0_488" localSheetId="4">#REF!</definedName>
    <definedName name="__shared_1_0_488" localSheetId="5">#REF!</definedName>
    <definedName name="__shared_1_0_488" localSheetId="2">#REF!</definedName>
    <definedName name="__shared_1_0_488">#REF!</definedName>
    <definedName name="__shared_1_0_489">#N/A</definedName>
    <definedName name="__shared_1_0_49">#N/A</definedName>
    <definedName name="__shared_1_0_490">#N/A</definedName>
    <definedName name="__shared_1_0_491">#N/A</definedName>
    <definedName name="__shared_1_0_492">#N/A</definedName>
    <definedName name="__shared_1_0_493">#N/A</definedName>
    <definedName name="__shared_1_0_494">#N/A</definedName>
    <definedName name="__shared_1_0_495">#N/A</definedName>
    <definedName name="__shared_1_0_496">#N/A</definedName>
    <definedName name="__shared_1_0_497">#N/A</definedName>
    <definedName name="__shared_1_0_498">#N/A</definedName>
    <definedName name="__shared_1_0_5">#N/A</definedName>
    <definedName name="__shared_1_0_50">#N/A</definedName>
    <definedName name="__shared_1_0_51">#N/A</definedName>
    <definedName name="__shared_1_0_52">#N/A</definedName>
    <definedName name="__shared_1_0_53">#N/A</definedName>
    <definedName name="__shared_1_0_54">#N/A</definedName>
    <definedName name="__shared_1_0_55" localSheetId="4">#REF!</definedName>
    <definedName name="__shared_1_0_55" localSheetId="5">#REF!</definedName>
    <definedName name="__shared_1_0_55" localSheetId="2">#REF!</definedName>
    <definedName name="__shared_1_0_55">#REF!</definedName>
    <definedName name="__shared_1_0_56">#N/A</definedName>
    <definedName name="__shared_1_0_57">#N/A</definedName>
    <definedName name="__shared_1_0_58">#N/A</definedName>
    <definedName name="__shared_1_0_59">#N/A</definedName>
    <definedName name="__shared_1_0_6">#N/A</definedName>
    <definedName name="__shared_1_0_60">#N/A</definedName>
    <definedName name="__shared_1_0_61">#N/A</definedName>
    <definedName name="__shared_1_0_62">#N/A</definedName>
    <definedName name="__shared_1_0_63">#N/A</definedName>
    <definedName name="__shared_1_0_64">#N/A</definedName>
    <definedName name="__shared_1_0_65">#N/A</definedName>
    <definedName name="__shared_1_0_66" localSheetId="4">#REF!</definedName>
    <definedName name="__shared_1_0_66" localSheetId="5">#REF!</definedName>
    <definedName name="__shared_1_0_66" localSheetId="2">#REF!</definedName>
    <definedName name="__shared_1_0_66">#REF!</definedName>
    <definedName name="__shared_1_0_67">#N/A</definedName>
    <definedName name="__shared_1_0_68">#N/A</definedName>
    <definedName name="__shared_1_0_69">#N/A</definedName>
    <definedName name="__shared_1_0_7">#N/A</definedName>
    <definedName name="__shared_1_0_70">#N/A</definedName>
    <definedName name="__shared_1_0_71">#N/A</definedName>
    <definedName name="__shared_1_0_72">#N/A</definedName>
    <definedName name="__shared_1_0_73">#N/A</definedName>
    <definedName name="__shared_1_0_74">#N/A</definedName>
    <definedName name="__shared_1_0_75">#N/A</definedName>
    <definedName name="__shared_1_0_76">#N/A</definedName>
    <definedName name="__shared_1_0_77">#N/A</definedName>
    <definedName name="__shared_1_0_78" localSheetId="4">#REF!</definedName>
    <definedName name="__shared_1_0_78" localSheetId="5">#REF!</definedName>
    <definedName name="__shared_1_0_78" localSheetId="2">#REF!</definedName>
    <definedName name="__shared_1_0_78">#REF!</definedName>
    <definedName name="__shared_1_0_79">#N/A</definedName>
    <definedName name="__shared_1_0_8">#N/A</definedName>
    <definedName name="__shared_1_0_80">#N/A</definedName>
    <definedName name="__shared_1_0_81">#N/A</definedName>
    <definedName name="__shared_1_0_82">#N/A</definedName>
    <definedName name="__shared_1_0_83">#N/A</definedName>
    <definedName name="__shared_1_0_84">#N/A</definedName>
    <definedName name="__shared_1_0_85">#N/A</definedName>
    <definedName name="__shared_1_0_86">#N/A</definedName>
    <definedName name="__shared_1_0_87">#N/A</definedName>
    <definedName name="__shared_1_0_88">#N/A</definedName>
    <definedName name="__shared_1_0_89">#N/A</definedName>
    <definedName name="__shared_1_0_9">#N/A</definedName>
    <definedName name="__shared_1_0_90">#N/A</definedName>
    <definedName name="__shared_1_0_91">#N/A</definedName>
    <definedName name="__shared_1_0_92" localSheetId="4">#REF!</definedName>
    <definedName name="__shared_1_0_92" localSheetId="5">#REF!</definedName>
    <definedName name="__shared_1_0_92" localSheetId="2">#REF!</definedName>
    <definedName name="__shared_1_0_92">#REF!</definedName>
    <definedName name="__shared_1_0_93">#N/A</definedName>
    <definedName name="__shared_1_0_94">#N/A</definedName>
    <definedName name="__shared_1_0_95">#N/A</definedName>
    <definedName name="__shared_1_0_96">#N/A</definedName>
    <definedName name="__shared_1_0_97">#N/A</definedName>
    <definedName name="__shared_1_0_98">#N/A</definedName>
    <definedName name="__shared_1_0_99">#N/A</definedName>
    <definedName name="__shared_2_0_0">#N/A</definedName>
    <definedName name="__shared_2_0_1">#N/A</definedName>
    <definedName name="__shared_2_0_2">#N/A</definedName>
    <definedName name="__shared_2_0_3">#N/A</definedName>
    <definedName name="__shared_2_0_4">#N/A</definedName>
    <definedName name="A" localSheetId="4">#REF!</definedName>
    <definedName name="A" localSheetId="5">#REF!</definedName>
    <definedName name="A" localSheetId="2">#REF!</definedName>
    <definedName name="A">#REF!</definedName>
    <definedName name="A_1">#REF!</definedName>
    <definedName name="A_2">#REF!</definedName>
    <definedName name="AA">#REF!</definedName>
    <definedName name="AAA">#REF!</definedName>
    <definedName name="AAAAA">#REF!</definedName>
    <definedName name="ANCORAGEM">#REF!</definedName>
    <definedName name="_xlnm.Print_Area" localSheetId="4">BDI!$A$1:$R$50</definedName>
    <definedName name="_xlnm.Print_Area" localSheetId="5">'Curva ABC de Insumos'!$A$1:$O$323</definedName>
    <definedName name="_xlnm.Print_Area" localSheetId="1">'Memória de Cálculo'!$A$1:$G$269</definedName>
    <definedName name="_xlnm.Print_Area" localSheetId="2">'Orçamento Analítico'!$A$1:$J$2175</definedName>
    <definedName name="_xlnm.Print_Area" localSheetId="0">'Orçamento Sintético'!$A$1:$J$281</definedName>
    <definedName name="B" localSheetId="4">#REF!</definedName>
    <definedName name="B" localSheetId="5">#REF!</definedName>
    <definedName name="B" localSheetId="2">#REF!</definedName>
    <definedName name="B">#REF!</definedName>
    <definedName name="B_1">#REF!</definedName>
    <definedName name="B_2">#REF!</definedName>
    <definedName name="_xlnm.Database" localSheetId="4">TEXT(Import.DataBase,"mm-aaaa")</definedName>
    <definedName name="_xlnm.Database" localSheetId="3">TEXT(Import.DataBase,"mm-aaaa")</definedName>
    <definedName name="_xlnm.Database" localSheetId="5">TEXT(Import.DataBase,"mm-aaaa")</definedName>
    <definedName name="_xlnm.Database">TEXT(Import.DataBase,"mm-aaaa")</definedName>
    <definedName name="BDI">[1]PREÇOS!#REF!</definedName>
    <definedName name="BLOCOANCORAGEMNOVO" localSheetId="4">#REF!</definedName>
    <definedName name="BLOCOANCORAGEMNOVO" localSheetId="5">#REF!</definedName>
    <definedName name="BLOCOANCORAGEMNOVO" localSheetId="2">#REF!</definedName>
    <definedName name="BLOCOANCORAGEMNOVO">#REF!</definedName>
    <definedName name="Critérios_IM">#REF!</definedName>
    <definedName name="Cronograma1">#N/A</definedName>
    <definedName name="custo_canal_diversos" localSheetId="4">#REF!</definedName>
    <definedName name="custo_canal_diversos" localSheetId="5">#REF!</definedName>
    <definedName name="custo_canal_diversos" localSheetId="2">#REF!</definedName>
    <definedName name="custo_canal_diversos">#REF!</definedName>
    <definedName name="custo_canal_k">#REF!</definedName>
    <definedName name="custo_viario_diversos">#REF!</definedName>
    <definedName name="custo_viario_k">#REF!</definedName>
    <definedName name="D">#REF!</definedName>
    <definedName name="E">#REF!</definedName>
    <definedName name="ELEV">#REF!</definedName>
    <definedName name="Excel_BuiltIn_Criteria">#REF!</definedName>
    <definedName name="F">#REF!</definedName>
    <definedName name="Fl_01">#N/A</definedName>
    <definedName name="G" localSheetId="4">#REF!</definedName>
    <definedName name="G" localSheetId="5">#REF!</definedName>
    <definedName name="G" localSheetId="2">#REF!</definedName>
    <definedName name="G">#REF!</definedName>
    <definedName name="H">#REF!</definedName>
    <definedName name="Import.DataBase">[2]DADOS!$A$38</definedName>
    <definedName name="INDIC">#REF!</definedName>
    <definedName name="ÍNDICE">#REF!</definedName>
    <definedName name="INFR">#REF!</definedName>
    <definedName name="INFRATEC">#REF!</definedName>
    <definedName name="INFRETÉCNICA">[1]PREÇOS!#REF!</definedName>
    <definedName name="kkkkkkkkkk" localSheetId="4">#REF!</definedName>
    <definedName name="kkkkkkkkkk" localSheetId="5">#REF!</definedName>
    <definedName name="kkkkkkkkkk" localSheetId="2">#REF!</definedName>
    <definedName name="kkkkkkkkkk">#REF!</definedName>
    <definedName name="MÊS">#REF!</definedName>
    <definedName name="pla">#N/A</definedName>
    <definedName name="PLAN" localSheetId="4">#REF!</definedName>
    <definedName name="PLAN" localSheetId="5">#REF!</definedName>
    <definedName name="PLAN" localSheetId="2">#REF!</definedName>
    <definedName name="PLAN">#REF!</definedName>
    <definedName name="planilha">#N/A</definedName>
    <definedName name="Print_Area_MI" localSheetId="4">#REF!</definedName>
    <definedName name="Print_Area_MI" localSheetId="5">#REF!</definedName>
    <definedName name="Print_Area_MI" localSheetId="2">#REF!</definedName>
    <definedName name="Print_Area_MI">#REF!</definedName>
    <definedName name="Referencia.Descricao" localSheetId="4">IF(ISNUMBER([2]PO!linhaSINAPIxls),INDEX(INDIRECT("'[Referência "&amp;BDI!_xlnm.Database&amp;".xls]Banco'!$b:$g"),[2]PO!linhaSINAPIxls,3),"")</definedName>
    <definedName name="Referencia.Descricao" localSheetId="3">IF(ISNUMBER([2]PO!linhaSINAPIxls),INDEX(INDIRECT("'[Referência "&amp;CRONOG!_xlnm.Database&amp;".xls]Banco'!$b:$g"),[2]PO!linhaSINAPIxls,3),"")</definedName>
    <definedName name="Referencia.Descricao" localSheetId="5">IF(ISNUMBER([2]PO!linhaSINAPIxls),INDEX(INDIRECT("'[Referência "&amp;'Curva ABC de Insumos'!_xlnm.Database&amp;".xls]Banco'!$b:$g"),[2]PO!linhaSINAPIxls,3),"")</definedName>
    <definedName name="Referencia.Descricao">IF(ISNUMBER([2]PO!linhaSINAPIxls),INDEX(INDIRECT("'[Referência "&amp;_xlnm.Database&amp;".xls]Banco'!$b:$g"),[2]PO!linhaSINAPIxls,3),"")</definedName>
    <definedName name="Referencia.Unidade" localSheetId="4">IF(ISNUMBER([3]PO!linhaSINAPIxls),INDEX(INDIRECT("'[Referência "&amp;BDI!_xlnm.Database&amp;".xls]Banco'!$b:$g"),[3]PO!linhaSINAPIxls,4),"")</definedName>
    <definedName name="Referencia.Unidade" localSheetId="3">IF(ISNUMBER([3]PO!linhaSINAPIxls),INDEX(INDIRECT("'[Referência "&amp;CRONOG!_xlnm.Database&amp;".xls]Banco'!$b:$g"),[3]PO!linhaSINAPIxls,4),"")</definedName>
    <definedName name="Referencia.Unidade" localSheetId="5">IF(ISNUMBER([3]PO!linhaSINAPIxls),INDEX(INDIRECT("'[Referência "&amp;'Curva ABC de Insumos'!_xlnm.Database&amp;".xls]Banco'!$b:$g"),[3]PO!linhaSINAPIxls,4),"")</definedName>
    <definedName name="Referencia.Unidade">IF(ISNUMBER([3]PO!linhaSINAPIxls),INDEX(INDIRECT("'[Referência "&amp;_xlnm.Database&amp;".xls]Banco'!$b:$g"),[3]PO!linhaSINAPIxls,4),"")</definedName>
    <definedName name="SHARED_FORMULA_10_144_10_144_0">#REF!</definedName>
    <definedName name="SHARED_FORMULA_10_176_10_176_0">#REF!</definedName>
    <definedName name="SHARED_FORMULA_11_144_11_144_0" localSheetId="4">#REF!*#REF!</definedName>
    <definedName name="SHARED_FORMULA_11_144_11_144_0" localSheetId="5">#REF!*#REF!</definedName>
    <definedName name="SHARED_FORMULA_11_144_11_144_0" localSheetId="2">#REF!*#REF!</definedName>
    <definedName name="SHARED_FORMULA_11_144_11_144_0">#REF!*#REF!</definedName>
    <definedName name="SHARED_FORMULA_11_176_11_176_0">#REF!*#REF!</definedName>
    <definedName name="SHARED_FORMULA_12_144_12_144_0">#REF!*#REF!</definedName>
    <definedName name="SHARED_FORMULA_12_176_12_176_0">#REF!*#REF!</definedName>
    <definedName name="SHARED_FORMULA_13_144_13_144_0">#REF!*#REF!</definedName>
    <definedName name="SHARED_FORMULA_13_176_13_176_0">#REF!*#REF!</definedName>
    <definedName name="SHARED_FORMULA_14_144_14_144_0">#REF!*#REF!</definedName>
    <definedName name="SHARED_FORMULA_14_176_14_176_0">#REF!*#REF!</definedName>
    <definedName name="SHARED_FORMULA_15_144_15_144_0" localSheetId="4">(((#REF!+#REF!+#REF!)*(1+#REF!))*(1+#REF!))</definedName>
    <definedName name="SHARED_FORMULA_15_144_15_144_0" localSheetId="5">(((#REF!+#REF!+#REF!)*(1+#REF!))*(1+#REF!))</definedName>
    <definedName name="SHARED_FORMULA_15_144_15_144_0" localSheetId="2">(((#REF!+#REF!+#REF!)*(1+#REF!))*(1+#REF!))</definedName>
    <definedName name="SHARED_FORMULA_15_144_15_144_0">(((#REF!+#REF!+#REF!)*(1+#REF!))*(1+#REF!))</definedName>
    <definedName name="SHARED_FORMULA_15_176_15_176_0">(((#REF!+#REF!+#REF!)*(1+#REF!))*(1+#REF!))</definedName>
    <definedName name="SHARED_FORMULA_16_144_16_144_0">(((#REF!+#REF!+#REF!)*(1+#REF!))*(1+#REF!))</definedName>
    <definedName name="SHARED_FORMULA_16_176_16_176_0">(((#REF!+#REF!+#REF!)*(1+#REF!))*(1+#REF!))</definedName>
    <definedName name="SHARED_FORMULA_17_144_17_144_0">#REF!+#REF!</definedName>
    <definedName name="SHARED_FORMULA_17_176_17_176_0">#REF!+#REF!</definedName>
    <definedName name="SHARED_FORMULA_18_144_18_144_0">#REF!*#REF!</definedName>
    <definedName name="SHARED_FORMULA_18_176_18_176_0">#REF!*#REF!</definedName>
    <definedName name="SHARED_FORMULA_19_145_19_145_0">#REF!*#REF!</definedName>
    <definedName name="SHARED_FORMULA_19_177_19_177_0">#REF!*#REF!</definedName>
    <definedName name="SHARED_FORMULA_20_145_20_145_0">#REF!+#REF!</definedName>
    <definedName name="SHARED_FORMULA_20_177_20_177_0">#REF!+#REF!</definedName>
    <definedName name="SHARED_FORMULA_29_145_29_145_0">UPPER(#REF!)</definedName>
    <definedName name="SHARED_FORMULA_29_177_29_177_0">UPPER(#REF!)</definedName>
    <definedName name="SHARED_FORMULA_6_103_6_103_3">SUM(#REF!)</definedName>
    <definedName name="SHARED_FORMULA_6_124_6_124_3">SUM(#REF!)</definedName>
    <definedName name="SHARED_FORMULA_6_134_6_134_3">SUM(#REF!)</definedName>
    <definedName name="SHARED_FORMULA_6_152_6_152_3">SUM(#REF!)</definedName>
    <definedName name="SHARED_FORMULA_6_162_6_162_3">SUM(#REF!)</definedName>
    <definedName name="SHARED_FORMULA_6_176_6_176_3">SUM(#REF!)</definedName>
    <definedName name="SHARED_FORMULA_6_20_6_20_3">SUM(#REF!)</definedName>
    <definedName name="SHARED_FORMULA_6_44_6_44_3">SUM(#REF!)</definedName>
    <definedName name="SHARED_FORMULA_6_60_6_60_3">SUM(#REF!)</definedName>
    <definedName name="SHARED_FORMULA_6_69_6_69_3">SUM(#REF!)</definedName>
    <definedName name="SHARED_FORMULA_6_80_6_80_3">SUM(#REF!)</definedName>
    <definedName name="SHARED_FORMULA_6_95_6_95_3">SUM(#REF!)</definedName>
    <definedName name="sqsa">#REF!</definedName>
    <definedName name="tbjan01">#REF!</definedName>
    <definedName name="TBJUL01">#REF!</definedName>
    <definedName name="TESTE">#REF!</definedName>
    <definedName name="TipoOrçamento">"BASE"</definedName>
    <definedName name="TRAVESSIA" localSheetId="4">#REF!</definedName>
    <definedName name="TRAVESSIA" localSheetId="5">#REF!</definedName>
    <definedName name="TRAVESSIA" localSheetId="2">#REF!</definedName>
    <definedName name="TRAVESSIA">#REF!</definedName>
    <definedName name="VENDA_CANAL_DIVERSOS">#REF!</definedName>
    <definedName name="VENDA_CANAL_K">#REF!</definedName>
    <definedName name="VENDA_CANAL_PI_R">#REF!</definedName>
    <definedName name="VENDA_VIARIO_DIVERSOS">#REF!</definedName>
    <definedName name="VENDA_VIARIO_K">#REF!</definedName>
    <definedName name="VENDA_VIARIO_PI_R">#REF!</definedName>
    <definedName name="X_1">#REF!</definedName>
    <definedName name="X_2">#REF!</definedName>
    <definedName name="X_3">#REF!</definedName>
    <definedName name="X_4">#REF!</definedName>
    <definedName name="X_INT">#REF!</definedName>
    <definedName name="Y_1">#REF!</definedName>
    <definedName name="Y_2">#REF!</definedName>
    <definedName name="Y_3">#REF!</definedName>
    <definedName name="Y_4">#REF!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73" i="3" l="1"/>
  <c r="I273" i="3" s="1"/>
  <c r="J273" i="3" s="1"/>
  <c r="J272" i="3"/>
  <c r="H271" i="3"/>
  <c r="I271" i="3" s="1"/>
  <c r="J271" i="3" s="1"/>
  <c r="H270" i="3"/>
  <c r="I270" i="3" s="1"/>
  <c r="J270" i="3" s="1"/>
  <c r="J269" i="3"/>
  <c r="H268" i="3"/>
  <c r="I268" i="3" s="1"/>
  <c r="J268" i="3" s="1"/>
  <c r="J267" i="3"/>
  <c r="J266" i="3"/>
  <c r="H265" i="3"/>
  <c r="I265" i="3" s="1"/>
  <c r="J265" i="3" s="1"/>
  <c r="H264" i="3"/>
  <c r="I264" i="3" s="1"/>
  <c r="J264" i="3" s="1"/>
  <c r="J263" i="3"/>
  <c r="H262" i="3"/>
  <c r="I262" i="3" s="1"/>
  <c r="J262" i="3" s="1"/>
  <c r="H261" i="3"/>
  <c r="I261" i="3" s="1"/>
  <c r="J261" i="3" s="1"/>
  <c r="H260" i="3"/>
  <c r="I260" i="3" s="1"/>
  <c r="J260" i="3" s="1"/>
  <c r="H259" i="3"/>
  <c r="I259" i="3" s="1"/>
  <c r="J259" i="3" s="1"/>
  <c r="H258" i="3"/>
  <c r="I258" i="3" s="1"/>
  <c r="J258" i="3" s="1"/>
  <c r="J257" i="3"/>
  <c r="H256" i="3"/>
  <c r="I256" i="3" s="1"/>
  <c r="J256" i="3" s="1"/>
  <c r="H255" i="3"/>
  <c r="I255" i="3" s="1"/>
  <c r="J255" i="3" s="1"/>
  <c r="H254" i="3"/>
  <c r="I254" i="3" s="1"/>
  <c r="J254" i="3" s="1"/>
  <c r="H253" i="3"/>
  <c r="I253" i="3" s="1"/>
  <c r="J253" i="3" s="1"/>
  <c r="H252" i="3"/>
  <c r="I252" i="3" s="1"/>
  <c r="J252" i="3" s="1"/>
  <c r="J251" i="3"/>
  <c r="H250" i="3"/>
  <c r="I250" i="3" s="1"/>
  <c r="J250" i="3" s="1"/>
  <c r="I249" i="3"/>
  <c r="J249" i="3" s="1"/>
  <c r="H249" i="3"/>
  <c r="H248" i="3"/>
  <c r="I248" i="3" s="1"/>
  <c r="J248" i="3" s="1"/>
  <c r="H247" i="3"/>
  <c r="I247" i="3" s="1"/>
  <c r="J247" i="3" s="1"/>
  <c r="H246" i="3"/>
  <c r="I246" i="3" s="1"/>
  <c r="J246" i="3" s="1"/>
  <c r="H245" i="3"/>
  <c r="I245" i="3" s="1"/>
  <c r="J245" i="3" s="1"/>
  <c r="H244" i="3"/>
  <c r="I244" i="3" s="1"/>
  <c r="J244" i="3" s="1"/>
  <c r="H243" i="3"/>
  <c r="I243" i="3" s="1"/>
  <c r="J243" i="3" s="1"/>
  <c r="H242" i="3"/>
  <c r="I242" i="3" s="1"/>
  <c r="J242" i="3" s="1"/>
  <c r="J241" i="3"/>
  <c r="H240" i="3"/>
  <c r="I240" i="3" s="1"/>
  <c r="J240" i="3" s="1"/>
  <c r="H239" i="3"/>
  <c r="I239" i="3" s="1"/>
  <c r="J239" i="3" s="1"/>
  <c r="J238" i="3"/>
  <c r="J237" i="3"/>
  <c r="H236" i="3"/>
  <c r="I236" i="3" s="1"/>
  <c r="J236" i="3" s="1"/>
  <c r="H235" i="3"/>
  <c r="I235" i="3" s="1"/>
  <c r="J235" i="3" s="1"/>
  <c r="J234" i="3"/>
  <c r="H233" i="3"/>
  <c r="I233" i="3" s="1"/>
  <c r="J233" i="3" s="1"/>
  <c r="H232" i="3"/>
  <c r="I232" i="3" s="1"/>
  <c r="J232" i="3" s="1"/>
  <c r="H231" i="3"/>
  <c r="I231" i="3" s="1"/>
  <c r="J231" i="3" s="1"/>
  <c r="H230" i="3"/>
  <c r="I230" i="3" s="1"/>
  <c r="J230" i="3" s="1"/>
  <c r="H229" i="3"/>
  <c r="I229" i="3" s="1"/>
  <c r="J229" i="3" s="1"/>
  <c r="H228" i="3"/>
  <c r="I228" i="3" s="1"/>
  <c r="J228" i="3" s="1"/>
  <c r="H227" i="3"/>
  <c r="I227" i="3" s="1"/>
  <c r="J227" i="3" s="1"/>
  <c r="J226" i="3"/>
  <c r="H226" i="3"/>
  <c r="I226" i="3" s="1"/>
  <c r="H225" i="3"/>
  <c r="I225" i="3" s="1"/>
  <c r="J225" i="3" s="1"/>
  <c r="H224" i="3"/>
  <c r="I224" i="3" s="1"/>
  <c r="J224" i="3" s="1"/>
  <c r="H223" i="3"/>
  <c r="I223" i="3" s="1"/>
  <c r="J223" i="3" s="1"/>
  <c r="H222" i="3"/>
  <c r="I222" i="3" s="1"/>
  <c r="J222" i="3" s="1"/>
  <c r="J221" i="3"/>
  <c r="H220" i="3"/>
  <c r="I220" i="3" s="1"/>
  <c r="J220" i="3" s="1"/>
  <c r="H219" i="3"/>
  <c r="I219" i="3" s="1"/>
  <c r="J219" i="3" s="1"/>
  <c r="J218" i="3"/>
  <c r="J217" i="3"/>
  <c r="H216" i="3"/>
  <c r="I216" i="3" s="1"/>
  <c r="J216" i="3" s="1"/>
  <c r="H215" i="3"/>
  <c r="I215" i="3" s="1"/>
  <c r="J215" i="3" s="1"/>
  <c r="H214" i="3"/>
  <c r="I214" i="3" s="1"/>
  <c r="J214" i="3" s="1"/>
  <c r="H213" i="3"/>
  <c r="I213" i="3" s="1"/>
  <c r="J213" i="3" s="1"/>
  <c r="J212" i="3"/>
  <c r="H211" i="3"/>
  <c r="I211" i="3" s="1"/>
  <c r="J211" i="3" s="1"/>
  <c r="H210" i="3"/>
  <c r="I210" i="3" s="1"/>
  <c r="J210" i="3" s="1"/>
  <c r="H209" i="3"/>
  <c r="I209" i="3" s="1"/>
  <c r="J209" i="3" s="1"/>
  <c r="J208" i="3"/>
  <c r="H207" i="3"/>
  <c r="I207" i="3" s="1"/>
  <c r="J207" i="3" s="1"/>
  <c r="H206" i="3"/>
  <c r="I206" i="3" s="1"/>
  <c r="J206" i="3" s="1"/>
  <c r="H205" i="3"/>
  <c r="I205" i="3" s="1"/>
  <c r="J205" i="3" s="1"/>
  <c r="H204" i="3"/>
  <c r="I204" i="3" s="1"/>
  <c r="J204" i="3" s="1"/>
  <c r="H203" i="3"/>
  <c r="I203" i="3" s="1"/>
  <c r="J203" i="3" s="1"/>
  <c r="H202" i="3"/>
  <c r="I202" i="3" s="1"/>
  <c r="J202" i="3" s="1"/>
  <c r="H201" i="3"/>
  <c r="I201" i="3" s="1"/>
  <c r="J201" i="3" s="1"/>
  <c r="H200" i="3"/>
  <c r="I200" i="3" s="1"/>
  <c r="J200" i="3" s="1"/>
  <c r="I199" i="3"/>
  <c r="J199" i="3" s="1"/>
  <c r="H199" i="3"/>
  <c r="J198" i="3"/>
  <c r="H197" i="3"/>
  <c r="I197" i="3" s="1"/>
  <c r="J197" i="3" s="1"/>
  <c r="H196" i="3"/>
  <c r="I196" i="3" s="1"/>
  <c r="J196" i="3" s="1"/>
  <c r="H195" i="3"/>
  <c r="I195" i="3" s="1"/>
  <c r="J195" i="3" s="1"/>
  <c r="H194" i="3"/>
  <c r="I194" i="3" s="1"/>
  <c r="J194" i="3" s="1"/>
  <c r="H193" i="3"/>
  <c r="I193" i="3" s="1"/>
  <c r="J193" i="3" s="1"/>
  <c r="J192" i="3"/>
  <c r="J191" i="3"/>
  <c r="H190" i="3"/>
  <c r="I190" i="3" s="1"/>
  <c r="J190" i="3" s="1"/>
  <c r="I189" i="3"/>
  <c r="J189" i="3" s="1"/>
  <c r="H189" i="3"/>
  <c r="H188" i="3"/>
  <c r="I188" i="3" s="1"/>
  <c r="J188" i="3" s="1"/>
  <c r="J187" i="3"/>
  <c r="H186" i="3"/>
  <c r="I186" i="3" s="1"/>
  <c r="J186" i="3" s="1"/>
  <c r="H185" i="3"/>
  <c r="I185" i="3" s="1"/>
  <c r="J185" i="3" s="1"/>
  <c r="H184" i="3"/>
  <c r="I184" i="3" s="1"/>
  <c r="J184" i="3" s="1"/>
  <c r="H183" i="3"/>
  <c r="I183" i="3" s="1"/>
  <c r="J183" i="3" s="1"/>
  <c r="H182" i="3"/>
  <c r="I182" i="3" s="1"/>
  <c r="J182" i="3" s="1"/>
  <c r="J181" i="3"/>
  <c r="H180" i="3"/>
  <c r="I180" i="3" s="1"/>
  <c r="J180" i="3" s="1"/>
  <c r="H179" i="3"/>
  <c r="I179" i="3" s="1"/>
  <c r="J179" i="3" s="1"/>
  <c r="J178" i="3"/>
  <c r="H177" i="3"/>
  <c r="I177" i="3" s="1"/>
  <c r="J177" i="3" s="1"/>
  <c r="H176" i="3"/>
  <c r="I176" i="3" s="1"/>
  <c r="J176" i="3" s="1"/>
  <c r="H175" i="3"/>
  <c r="I175" i="3" s="1"/>
  <c r="J175" i="3" s="1"/>
  <c r="H174" i="3"/>
  <c r="I174" i="3" s="1"/>
  <c r="J174" i="3" s="1"/>
  <c r="H173" i="3"/>
  <c r="I173" i="3" s="1"/>
  <c r="J173" i="3" s="1"/>
  <c r="H172" i="3"/>
  <c r="I172" i="3" s="1"/>
  <c r="J172" i="3" s="1"/>
  <c r="H171" i="3"/>
  <c r="I171" i="3" s="1"/>
  <c r="J171" i="3" s="1"/>
  <c r="H170" i="3"/>
  <c r="I170" i="3" s="1"/>
  <c r="J170" i="3" s="1"/>
  <c r="J169" i="3"/>
  <c r="H168" i="3"/>
  <c r="I168" i="3" s="1"/>
  <c r="J168" i="3" s="1"/>
  <c r="H167" i="3"/>
  <c r="I167" i="3" s="1"/>
  <c r="J167" i="3" s="1"/>
  <c r="H166" i="3"/>
  <c r="I166" i="3" s="1"/>
  <c r="J166" i="3" s="1"/>
  <c r="H165" i="3"/>
  <c r="I165" i="3" s="1"/>
  <c r="J165" i="3" s="1"/>
  <c r="H164" i="3"/>
  <c r="I164" i="3" s="1"/>
  <c r="J164" i="3" s="1"/>
  <c r="H163" i="3"/>
  <c r="I163" i="3" s="1"/>
  <c r="J163" i="3" s="1"/>
  <c r="J162" i="3"/>
  <c r="H161" i="3"/>
  <c r="I161" i="3" s="1"/>
  <c r="J161" i="3" s="1"/>
  <c r="H160" i="3"/>
  <c r="I160" i="3" s="1"/>
  <c r="J160" i="3" s="1"/>
  <c r="H159" i="3"/>
  <c r="I159" i="3" s="1"/>
  <c r="J159" i="3" s="1"/>
  <c r="J158" i="3"/>
  <c r="I157" i="3"/>
  <c r="J157" i="3" s="1"/>
  <c r="H157" i="3"/>
  <c r="H156" i="3"/>
  <c r="I156" i="3" s="1"/>
  <c r="J156" i="3" s="1"/>
  <c r="H155" i="3"/>
  <c r="I155" i="3" s="1"/>
  <c r="J155" i="3" s="1"/>
  <c r="H154" i="3"/>
  <c r="I154" i="3" s="1"/>
  <c r="J154" i="3" s="1"/>
  <c r="H153" i="3"/>
  <c r="I153" i="3" s="1"/>
  <c r="J153" i="3" s="1"/>
  <c r="H152" i="3"/>
  <c r="I152" i="3" s="1"/>
  <c r="J152" i="3" s="1"/>
  <c r="J151" i="3"/>
  <c r="H150" i="3"/>
  <c r="I150" i="3" s="1"/>
  <c r="J150" i="3" s="1"/>
  <c r="H149" i="3"/>
  <c r="I149" i="3" s="1"/>
  <c r="J149" i="3" s="1"/>
  <c r="H148" i="3"/>
  <c r="I148" i="3" s="1"/>
  <c r="J148" i="3" s="1"/>
  <c r="H147" i="3"/>
  <c r="I147" i="3" s="1"/>
  <c r="J147" i="3" s="1"/>
  <c r="H146" i="3"/>
  <c r="I146" i="3" s="1"/>
  <c r="J146" i="3" s="1"/>
  <c r="J145" i="3"/>
  <c r="H144" i="3"/>
  <c r="I144" i="3" s="1"/>
  <c r="J144" i="3" s="1"/>
  <c r="H143" i="3"/>
  <c r="I143" i="3" s="1"/>
  <c r="J143" i="3" s="1"/>
  <c r="H142" i="3"/>
  <c r="I142" i="3" s="1"/>
  <c r="J142" i="3" s="1"/>
  <c r="J141" i="3"/>
  <c r="H140" i="3"/>
  <c r="I140" i="3" s="1"/>
  <c r="J140" i="3" s="1"/>
  <c r="H139" i="3"/>
  <c r="I139" i="3" s="1"/>
  <c r="J139" i="3" s="1"/>
  <c r="H138" i="3"/>
  <c r="I138" i="3" s="1"/>
  <c r="J138" i="3" s="1"/>
  <c r="J137" i="3"/>
  <c r="H136" i="3"/>
  <c r="I136" i="3" s="1"/>
  <c r="J136" i="3" s="1"/>
  <c r="H135" i="3"/>
  <c r="I135" i="3" s="1"/>
  <c r="J135" i="3" s="1"/>
  <c r="H134" i="3"/>
  <c r="I134" i="3" s="1"/>
  <c r="J134" i="3" s="1"/>
  <c r="J133" i="3"/>
  <c r="H132" i="3"/>
  <c r="I132" i="3" s="1"/>
  <c r="J132" i="3" s="1"/>
  <c r="H131" i="3"/>
  <c r="I131" i="3" s="1"/>
  <c r="J131" i="3" s="1"/>
  <c r="H130" i="3"/>
  <c r="I130" i="3" s="1"/>
  <c r="J130" i="3" s="1"/>
  <c r="J129" i="3"/>
  <c r="J128" i="3"/>
  <c r="H127" i="3"/>
  <c r="I127" i="3" s="1"/>
  <c r="J127" i="3" s="1"/>
  <c r="J126" i="3"/>
  <c r="H125" i="3"/>
  <c r="I125" i="3" s="1"/>
  <c r="J125" i="3" s="1"/>
  <c r="H124" i="3"/>
  <c r="I124" i="3" s="1"/>
  <c r="J124" i="3" s="1"/>
  <c r="H123" i="3"/>
  <c r="I123" i="3" s="1"/>
  <c r="J123" i="3" s="1"/>
  <c r="H122" i="3"/>
  <c r="I122" i="3" s="1"/>
  <c r="J122" i="3" s="1"/>
  <c r="H121" i="3"/>
  <c r="I121" i="3" s="1"/>
  <c r="J121" i="3" s="1"/>
  <c r="H120" i="3"/>
  <c r="I120" i="3" s="1"/>
  <c r="J120" i="3" s="1"/>
  <c r="H119" i="3"/>
  <c r="I119" i="3" s="1"/>
  <c r="J119" i="3" s="1"/>
  <c r="H118" i="3"/>
  <c r="I118" i="3" s="1"/>
  <c r="J118" i="3" s="1"/>
  <c r="H117" i="3"/>
  <c r="I117" i="3" s="1"/>
  <c r="J117" i="3" s="1"/>
  <c r="H116" i="3"/>
  <c r="I116" i="3" s="1"/>
  <c r="J116" i="3" s="1"/>
  <c r="H115" i="3"/>
  <c r="I115" i="3" s="1"/>
  <c r="J115" i="3" s="1"/>
  <c r="J114" i="3"/>
  <c r="H113" i="3"/>
  <c r="I113" i="3" s="1"/>
  <c r="J113" i="3" s="1"/>
  <c r="H112" i="3"/>
  <c r="I112" i="3" s="1"/>
  <c r="J112" i="3" s="1"/>
  <c r="H111" i="3"/>
  <c r="I111" i="3" s="1"/>
  <c r="J111" i="3" s="1"/>
  <c r="H110" i="3"/>
  <c r="I110" i="3" s="1"/>
  <c r="J110" i="3" s="1"/>
  <c r="H109" i="3"/>
  <c r="I109" i="3" s="1"/>
  <c r="J109" i="3" s="1"/>
  <c r="H108" i="3"/>
  <c r="I108" i="3" s="1"/>
  <c r="J108" i="3" s="1"/>
  <c r="J107" i="3"/>
  <c r="H106" i="3"/>
  <c r="I106" i="3" s="1"/>
  <c r="J106" i="3" s="1"/>
  <c r="H105" i="3"/>
  <c r="I105" i="3" s="1"/>
  <c r="J105" i="3" s="1"/>
  <c r="J104" i="3"/>
  <c r="H103" i="3"/>
  <c r="I103" i="3" s="1"/>
  <c r="J103" i="3" s="1"/>
  <c r="H102" i="3"/>
  <c r="I102" i="3" s="1"/>
  <c r="J102" i="3" s="1"/>
  <c r="H101" i="3"/>
  <c r="I101" i="3" s="1"/>
  <c r="J101" i="3" s="1"/>
  <c r="H100" i="3"/>
  <c r="I100" i="3" s="1"/>
  <c r="J100" i="3" s="1"/>
  <c r="H99" i="3"/>
  <c r="I99" i="3" s="1"/>
  <c r="J99" i="3" s="1"/>
  <c r="H98" i="3"/>
  <c r="I98" i="3" s="1"/>
  <c r="J98" i="3" s="1"/>
  <c r="H97" i="3"/>
  <c r="I97" i="3" s="1"/>
  <c r="J97" i="3" s="1"/>
  <c r="H96" i="3"/>
  <c r="I96" i="3" s="1"/>
  <c r="J96" i="3" s="1"/>
  <c r="J95" i="3"/>
  <c r="H94" i="3"/>
  <c r="I94" i="3" s="1"/>
  <c r="J94" i="3" s="1"/>
  <c r="I93" i="3"/>
  <c r="J93" i="3" s="1"/>
  <c r="H93" i="3"/>
  <c r="H92" i="3"/>
  <c r="I92" i="3" s="1"/>
  <c r="J92" i="3" s="1"/>
  <c r="H91" i="3"/>
  <c r="I91" i="3" s="1"/>
  <c r="J91" i="3" s="1"/>
  <c r="H90" i="3"/>
  <c r="I90" i="3" s="1"/>
  <c r="J90" i="3" s="1"/>
  <c r="H89" i="3"/>
  <c r="I89" i="3" s="1"/>
  <c r="J89" i="3" s="1"/>
  <c r="H88" i="3"/>
  <c r="I88" i="3" s="1"/>
  <c r="J88" i="3" s="1"/>
  <c r="H87" i="3"/>
  <c r="I87" i="3" s="1"/>
  <c r="J87" i="3" s="1"/>
  <c r="H86" i="3"/>
  <c r="I86" i="3" s="1"/>
  <c r="J86" i="3" s="1"/>
  <c r="J85" i="3"/>
  <c r="J84" i="3"/>
  <c r="H83" i="3"/>
  <c r="I83" i="3" s="1"/>
  <c r="J83" i="3" s="1"/>
  <c r="H82" i="3"/>
  <c r="I82" i="3" s="1"/>
  <c r="J82" i="3" s="1"/>
  <c r="H81" i="3"/>
  <c r="I81" i="3" s="1"/>
  <c r="J81" i="3" s="1"/>
  <c r="H80" i="3"/>
  <c r="I80" i="3" s="1"/>
  <c r="J80" i="3" s="1"/>
  <c r="H79" i="3"/>
  <c r="I79" i="3" s="1"/>
  <c r="J79" i="3" s="1"/>
  <c r="H78" i="3"/>
  <c r="I78" i="3" s="1"/>
  <c r="J78" i="3" s="1"/>
  <c r="J77" i="3"/>
  <c r="H76" i="3"/>
  <c r="I76" i="3" s="1"/>
  <c r="J76" i="3" s="1"/>
  <c r="H75" i="3"/>
  <c r="I75" i="3" s="1"/>
  <c r="J75" i="3" s="1"/>
  <c r="H74" i="3"/>
  <c r="I74" i="3" s="1"/>
  <c r="J74" i="3" s="1"/>
  <c r="H73" i="3"/>
  <c r="I73" i="3" s="1"/>
  <c r="J73" i="3" s="1"/>
  <c r="H72" i="3"/>
  <c r="I72" i="3" s="1"/>
  <c r="J72" i="3" s="1"/>
  <c r="H71" i="3"/>
  <c r="I71" i="3" s="1"/>
  <c r="J71" i="3" s="1"/>
  <c r="H70" i="3"/>
  <c r="I70" i="3" s="1"/>
  <c r="J70" i="3" s="1"/>
  <c r="H69" i="3"/>
  <c r="I69" i="3" s="1"/>
  <c r="J69" i="3" s="1"/>
  <c r="H68" i="3"/>
  <c r="I68" i="3" s="1"/>
  <c r="J68" i="3" s="1"/>
  <c r="J67" i="3"/>
  <c r="H66" i="3"/>
  <c r="I66" i="3" s="1"/>
  <c r="J66" i="3" s="1"/>
  <c r="H65" i="3"/>
  <c r="I65" i="3" s="1"/>
  <c r="J65" i="3" s="1"/>
  <c r="H64" i="3"/>
  <c r="I64" i="3" s="1"/>
  <c r="J64" i="3" s="1"/>
  <c r="J63" i="3"/>
  <c r="J62" i="3"/>
  <c r="H61" i="3"/>
  <c r="I61" i="3" s="1"/>
  <c r="J61" i="3" s="1"/>
  <c r="H60" i="3"/>
  <c r="I60" i="3" s="1"/>
  <c r="J60" i="3" s="1"/>
  <c r="H59" i="3"/>
  <c r="I59" i="3" s="1"/>
  <c r="J59" i="3" s="1"/>
  <c r="H58" i="3"/>
  <c r="I58" i="3" s="1"/>
  <c r="J58" i="3" s="1"/>
  <c r="H57" i="3"/>
  <c r="I57" i="3" s="1"/>
  <c r="J57" i="3" s="1"/>
  <c r="J56" i="3"/>
  <c r="H55" i="3"/>
  <c r="I55" i="3" s="1"/>
  <c r="J55" i="3" s="1"/>
  <c r="H54" i="3"/>
  <c r="I54" i="3" s="1"/>
  <c r="J54" i="3" s="1"/>
  <c r="H53" i="3"/>
  <c r="I53" i="3" s="1"/>
  <c r="J53" i="3" s="1"/>
  <c r="H52" i="3"/>
  <c r="I52" i="3" s="1"/>
  <c r="J52" i="3" s="1"/>
  <c r="H51" i="3"/>
  <c r="I51" i="3" s="1"/>
  <c r="J51" i="3" s="1"/>
  <c r="H50" i="3"/>
  <c r="I50" i="3" s="1"/>
  <c r="J50" i="3" s="1"/>
  <c r="H49" i="3"/>
  <c r="I49" i="3" s="1"/>
  <c r="J49" i="3" s="1"/>
  <c r="H48" i="3"/>
  <c r="I48" i="3" s="1"/>
  <c r="J48" i="3" s="1"/>
  <c r="H47" i="3"/>
  <c r="I47" i="3" s="1"/>
  <c r="J47" i="3" s="1"/>
  <c r="H46" i="3"/>
  <c r="I46" i="3" s="1"/>
  <c r="J46" i="3" s="1"/>
  <c r="J45" i="3"/>
  <c r="H44" i="3"/>
  <c r="I44" i="3" s="1"/>
  <c r="J44" i="3" s="1"/>
  <c r="H43" i="3"/>
  <c r="I43" i="3" s="1"/>
  <c r="J43" i="3" s="1"/>
  <c r="H42" i="3"/>
  <c r="I42" i="3" s="1"/>
  <c r="J42" i="3" s="1"/>
  <c r="H41" i="3"/>
  <c r="I41" i="3" s="1"/>
  <c r="J41" i="3" s="1"/>
  <c r="J40" i="3"/>
  <c r="J39" i="3"/>
  <c r="H38" i="3"/>
  <c r="I38" i="3" s="1"/>
  <c r="J38" i="3" s="1"/>
  <c r="H37" i="3"/>
  <c r="I37" i="3" s="1"/>
  <c r="J37" i="3" s="1"/>
  <c r="H36" i="3"/>
  <c r="I36" i="3" s="1"/>
  <c r="J36" i="3" s="1"/>
  <c r="H35" i="3"/>
  <c r="I35" i="3" s="1"/>
  <c r="J35" i="3" s="1"/>
  <c r="H34" i="3"/>
  <c r="I34" i="3" s="1"/>
  <c r="J34" i="3" s="1"/>
  <c r="H33" i="3"/>
  <c r="I33" i="3" s="1"/>
  <c r="J33" i="3" s="1"/>
  <c r="J32" i="3"/>
  <c r="H31" i="3"/>
  <c r="I31" i="3" s="1"/>
  <c r="J31" i="3" s="1"/>
  <c r="H30" i="3"/>
  <c r="I30" i="3" s="1"/>
  <c r="J30" i="3" s="1"/>
  <c r="I29" i="3"/>
  <c r="J29" i="3" s="1"/>
  <c r="H29" i="3"/>
  <c r="H28" i="3"/>
  <c r="I28" i="3" s="1"/>
  <c r="J28" i="3" s="1"/>
  <c r="H27" i="3"/>
  <c r="I27" i="3" s="1"/>
  <c r="J27" i="3" s="1"/>
  <c r="H26" i="3"/>
  <c r="I26" i="3" s="1"/>
  <c r="J26" i="3" s="1"/>
  <c r="H25" i="3"/>
  <c r="I25" i="3" s="1"/>
  <c r="J25" i="3" s="1"/>
  <c r="H24" i="3"/>
  <c r="I24" i="3" s="1"/>
  <c r="J24" i="3" s="1"/>
  <c r="H23" i="3"/>
  <c r="I23" i="3" s="1"/>
  <c r="J23" i="3" s="1"/>
  <c r="H22" i="3"/>
  <c r="I22" i="3" s="1"/>
  <c r="J22" i="3" s="1"/>
  <c r="I21" i="3"/>
  <c r="J21" i="3" s="1"/>
  <c r="H21" i="3"/>
  <c r="H20" i="3"/>
  <c r="I20" i="3" s="1"/>
  <c r="J20" i="3" s="1"/>
  <c r="J19" i="3"/>
  <c r="H18" i="3"/>
  <c r="I18" i="3" s="1"/>
  <c r="J18" i="3" s="1"/>
  <c r="J17" i="3"/>
  <c r="H16" i="3"/>
  <c r="I16" i="3" s="1"/>
  <c r="J16" i="3" s="1"/>
  <c r="H15" i="3"/>
  <c r="I15" i="3" s="1"/>
  <c r="J15" i="3" s="1"/>
  <c r="H14" i="3"/>
  <c r="I14" i="3" s="1"/>
  <c r="J14" i="3" s="1"/>
  <c r="H13" i="3"/>
  <c r="I13" i="3" s="1"/>
  <c r="J13" i="3" s="1"/>
  <c r="J12" i="3"/>
  <c r="J11" i="3"/>
  <c r="G258" i="1"/>
  <c r="G243" i="1"/>
  <c r="G245" i="1"/>
  <c r="F254" i="1"/>
  <c r="F253" i="1"/>
  <c r="F255" i="1"/>
  <c r="F248" i="1"/>
  <c r="F258" i="1"/>
  <c r="F260" i="1" s="1"/>
  <c r="F256" i="1"/>
  <c r="F257" i="1" s="1"/>
  <c r="F251" i="1"/>
  <c r="F249" i="1"/>
  <c r="F247" i="1"/>
  <c r="F242" i="1"/>
  <c r="F243" i="1" s="1"/>
  <c r="F240" i="1"/>
  <c r="F238" i="1"/>
  <c r="F239" i="1" s="1"/>
  <c r="F237" i="1"/>
  <c r="F235" i="1"/>
  <c r="F234" i="1"/>
  <c r="F206" i="1"/>
  <c r="F244" i="1" l="1"/>
  <c r="F245" i="1" s="1"/>
  <c r="F259" i="1"/>
  <c r="F241" i="1"/>
  <c r="J10" i="1"/>
  <c r="J12" i="1"/>
  <c r="J13" i="1"/>
  <c r="J14" i="1"/>
  <c r="J20" i="1"/>
  <c r="J21" i="1"/>
  <c r="J24" i="1"/>
  <c r="J25" i="1"/>
  <c r="J27" i="1"/>
  <c r="J34" i="1"/>
  <c r="J35" i="1"/>
  <c r="J37" i="1"/>
  <c r="J38" i="1"/>
  <c r="J40" i="1"/>
  <c r="J51" i="1"/>
  <c r="J57" i="1"/>
  <c r="J58" i="1"/>
  <c r="J62" i="1"/>
  <c r="J72" i="1"/>
  <c r="J79" i="1"/>
  <c r="J80" i="1"/>
  <c r="J81" i="1"/>
  <c r="J82" i="1"/>
  <c r="J83" i="1"/>
  <c r="J84" i="1"/>
  <c r="J85" i="1"/>
  <c r="J86" i="1"/>
  <c r="J87" i="1"/>
  <c r="J88" i="1"/>
  <c r="J89" i="1"/>
  <c r="J90" i="1"/>
  <c r="J91" i="1"/>
  <c r="J92" i="1"/>
  <c r="J93" i="1"/>
  <c r="J94" i="1"/>
  <c r="J95" i="1"/>
  <c r="J96" i="1"/>
  <c r="J97" i="1"/>
  <c r="J98" i="1"/>
  <c r="J99" i="1"/>
  <c r="J100" i="1"/>
  <c r="J101" i="1"/>
  <c r="J102" i="1"/>
  <c r="J109" i="1"/>
  <c r="J110" i="1"/>
  <c r="J111" i="1"/>
  <c r="J114" i="1"/>
  <c r="J115" i="1"/>
  <c r="J116" i="1"/>
  <c r="J118"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6" i="1"/>
  <c r="J157" i="1"/>
  <c r="J158" i="1"/>
  <c r="J159" i="1"/>
  <c r="J160" i="1"/>
  <c r="J161" i="1"/>
  <c r="J162" i="1"/>
  <c r="J163" i="1"/>
  <c r="J164" i="1"/>
  <c r="J165" i="1"/>
  <c r="J166" i="1"/>
  <c r="J167" i="1"/>
  <c r="J168" i="1"/>
  <c r="J169" i="1"/>
  <c r="J170" i="1"/>
  <c r="J171" i="1"/>
  <c r="J172" i="1"/>
  <c r="J173" i="1"/>
  <c r="J176" i="1"/>
  <c r="J182" i="1"/>
  <c r="J186" i="1"/>
  <c r="J187" i="1"/>
  <c r="J202" i="1"/>
  <c r="J206" i="1"/>
  <c r="J207" i="1"/>
  <c r="J212" i="1"/>
  <c r="J213" i="1"/>
  <c r="J215" i="1"/>
  <c r="J221" i="1"/>
  <c r="J229" i="1"/>
  <c r="J261" i="1"/>
  <c r="J262" i="1"/>
  <c r="J264" i="1"/>
  <c r="J265" i="1"/>
  <c r="J267" i="1"/>
  <c r="J268" i="1"/>
  <c r="J8" i="1"/>
  <c r="F78" i="1"/>
  <c r="J78" i="1" s="1"/>
  <c r="F77" i="1"/>
  <c r="J77" i="1" s="1"/>
  <c r="I8" i="7"/>
  <c r="I50" i="7"/>
  <c r="I49" i="7"/>
  <c r="J48" i="7"/>
  <c r="A45" i="7"/>
  <c r="A46" i="7" s="1"/>
  <c r="A47" i="7" s="1"/>
  <c r="C44" i="7"/>
  <c r="A39" i="7"/>
  <c r="A40" i="7" s="1"/>
  <c r="C38" i="7"/>
  <c r="I35" i="7"/>
  <c r="M32" i="7"/>
  <c r="I29" i="7"/>
  <c r="A28" i="7"/>
  <c r="A29" i="7" s="1"/>
  <c r="C27" i="7"/>
  <c r="N24" i="7"/>
  <c r="N26" i="7" s="1"/>
  <c r="M22" i="7"/>
  <c r="I22" i="7"/>
  <c r="A22" i="7"/>
  <c r="A23" i="7" s="1"/>
  <c r="M21" i="7"/>
  <c r="I21" i="7"/>
  <c r="C21" i="7"/>
  <c r="M20" i="7"/>
  <c r="I20" i="7"/>
  <c r="M19" i="7"/>
  <c r="I19" i="7"/>
  <c r="M18" i="7"/>
  <c r="P18" i="7" s="1"/>
  <c r="I18" i="7"/>
  <c r="A15" i="7"/>
  <c r="A17" i="7" s="1"/>
  <c r="C14" i="7"/>
  <c r="C13" i="7"/>
  <c r="C12" i="7"/>
  <c r="Q11" i="7"/>
  <c r="M33" i="7" s="1"/>
  <c r="C11" i="7"/>
  <c r="C10" i="7"/>
  <c r="C9" i="7"/>
  <c r="C8" i="7"/>
  <c r="A3" i="7"/>
  <c r="A4" i="7" s="1"/>
  <c r="C2" i="7"/>
  <c r="C2" i="6"/>
  <c r="A2" i="5"/>
  <c r="A1" i="5"/>
  <c r="C2" i="4"/>
  <c r="E2" i="6"/>
  <c r="D2" i="5"/>
  <c r="G2" i="4"/>
  <c r="L32" i="7" l="1"/>
  <c r="C45" i="7"/>
  <c r="C15" i="7"/>
  <c r="C40" i="7"/>
  <c r="A41" i="7"/>
  <c r="A18" i="7"/>
  <c r="C17" i="7"/>
  <c r="C29" i="7"/>
  <c r="A32" i="7"/>
  <c r="R20" i="7"/>
  <c r="A24" i="7"/>
  <c r="C23" i="7"/>
  <c r="A5" i="7"/>
  <c r="C4" i="7"/>
  <c r="C47" i="7"/>
  <c r="A48" i="7"/>
  <c r="C46" i="7"/>
  <c r="Q18" i="7"/>
  <c r="Q19" i="7"/>
  <c r="C22" i="7"/>
  <c r="R18" i="7"/>
  <c r="C28" i="7"/>
  <c r="C39" i="7"/>
  <c r="C3" i="7"/>
  <c r="N25" i="7"/>
  <c r="O25" i="7" s="1"/>
  <c r="I37" i="7"/>
  <c r="N27" i="7" l="1"/>
  <c r="I3" i="3" s="1"/>
  <c r="A49" i="7"/>
  <c r="C49" i="7" s="1"/>
  <c r="C48" i="7"/>
  <c r="C18" i="7"/>
  <c r="A19" i="7"/>
  <c r="P19" i="7"/>
  <c r="R19" i="7"/>
  <c r="Q20" i="7"/>
  <c r="P21" i="7"/>
  <c r="C24" i="7"/>
  <c r="A25" i="7"/>
  <c r="A33" i="7"/>
  <c r="C32" i="7"/>
  <c r="P20" i="7"/>
  <c r="A6" i="7"/>
  <c r="C5" i="7"/>
  <c r="A42" i="7"/>
  <c r="C41" i="7"/>
  <c r="A43" i="7" l="1"/>
  <c r="C43" i="7" s="1"/>
  <c r="C42" i="7"/>
  <c r="C19" i="7"/>
  <c r="A20" i="7"/>
  <c r="C20" i="7" s="1"/>
  <c r="R21" i="7"/>
  <c r="Q21" i="7"/>
  <c r="A7" i="7"/>
  <c r="C7" i="7" s="1"/>
  <c r="C6" i="7"/>
  <c r="P22" i="7" s="1"/>
  <c r="C33" i="7"/>
  <c r="A34" i="7"/>
  <c r="C34" i="7" s="1"/>
  <c r="A26" i="7"/>
  <c r="C26" i="7" s="1"/>
  <c r="C25" i="7"/>
  <c r="R26" i="7" l="1"/>
  <c r="R22" i="7"/>
  <c r="Q26" i="7"/>
  <c r="P26" i="7"/>
  <c r="O26" i="7" s="1"/>
  <c r="Q22" i="7"/>
  <c r="V27" i="7" l="1"/>
  <c r="T16" i="7" s="1"/>
  <c r="O27" i="7"/>
  <c r="F76" i="1" l="1"/>
  <c r="J76" i="1" s="1"/>
  <c r="F75" i="1"/>
  <c r="J75" i="1" s="1"/>
  <c r="F53" i="1"/>
  <c r="J53" i="1" s="1"/>
  <c r="F60" i="1"/>
  <c r="J60" i="1" s="1"/>
  <c r="F45" i="1"/>
  <c r="J45" i="1" s="1"/>
  <c r="F230" i="1"/>
  <c r="J230" i="1" s="1"/>
  <c r="F231" i="1"/>
  <c r="J231" i="1" s="1"/>
  <c r="F266" i="1"/>
  <c r="J266" i="1" s="1"/>
  <c r="G227" i="1"/>
  <c r="G228" i="1" s="1"/>
  <c r="F225" i="1"/>
  <c r="F224" i="1"/>
  <c r="J224" i="1" s="1"/>
  <c r="F223" i="1"/>
  <c r="J223" i="1" s="1"/>
  <c r="F222" i="1"/>
  <c r="J222" i="1" s="1"/>
  <c r="F220" i="1"/>
  <c r="J220" i="1" s="1"/>
  <c r="F218" i="1"/>
  <c r="J218" i="1" s="1"/>
  <c r="F217" i="1"/>
  <c r="J217" i="1" s="1"/>
  <c r="F214" i="1"/>
  <c r="J214" i="1" s="1"/>
  <c r="F209" i="1"/>
  <c r="J209" i="1" s="1"/>
  <c r="F210" i="1"/>
  <c r="J210" i="1" s="1"/>
  <c r="F71" i="1"/>
  <c r="J71" i="1" s="1"/>
  <c r="F70" i="1"/>
  <c r="J70" i="1" s="1"/>
  <c r="F205" i="1"/>
  <c r="J205" i="1" s="1"/>
  <c r="F204" i="1"/>
  <c r="J204" i="1" s="1"/>
  <c r="F201" i="1"/>
  <c r="J201" i="1" s="1"/>
  <c r="F200" i="1"/>
  <c r="J200" i="1" s="1"/>
  <c r="F199" i="1"/>
  <c r="J199" i="1" s="1"/>
  <c r="F197" i="1"/>
  <c r="F196" i="1"/>
  <c r="J196" i="1" s="1"/>
  <c r="F195" i="1"/>
  <c r="J195" i="1" s="1"/>
  <c r="F194" i="1"/>
  <c r="J194" i="1" s="1"/>
  <c r="F183" i="1"/>
  <c r="F155" i="1"/>
  <c r="J155" i="1" s="1"/>
  <c r="F119" i="1"/>
  <c r="J119" i="1" s="1"/>
  <c r="F117" i="1"/>
  <c r="J117" i="1" s="1"/>
  <c r="F113" i="1"/>
  <c r="J113" i="1" s="1"/>
  <c r="F112" i="1"/>
  <c r="J112" i="1" s="1"/>
  <c r="F108" i="1"/>
  <c r="J108" i="1" s="1"/>
  <c r="F106" i="1"/>
  <c r="F105" i="1"/>
  <c r="J105" i="1" s="1"/>
  <c r="F104" i="1"/>
  <c r="J104" i="1" s="1"/>
  <c r="F103" i="1"/>
  <c r="J103" i="1" s="1"/>
  <c r="F198" i="1" l="1"/>
  <c r="J198" i="1" s="1"/>
  <c r="J197" i="1"/>
  <c r="F226" i="1"/>
  <c r="J225" i="1"/>
  <c r="F107" i="1"/>
  <c r="J107" i="1" s="1"/>
  <c r="J106" i="1"/>
  <c r="F184" i="1"/>
  <c r="J184" i="1" s="1"/>
  <c r="J183" i="1"/>
  <c r="F219" i="1"/>
  <c r="J219" i="1" s="1"/>
  <c r="F185" i="1"/>
  <c r="J185" i="1" s="1"/>
  <c r="F74" i="1"/>
  <c r="J74" i="1" s="1"/>
  <c r="F73" i="1"/>
  <c r="F69" i="1"/>
  <c r="J69" i="1" s="1"/>
  <c r="F61" i="1"/>
  <c r="J61" i="1" s="1"/>
  <c r="F59" i="1"/>
  <c r="J59" i="1" s="1"/>
  <c r="F211" i="1" l="1"/>
  <c r="J211" i="1" s="1"/>
  <c r="J73" i="1"/>
  <c r="F227" i="1"/>
  <c r="J226" i="1"/>
  <c r="F56" i="1"/>
  <c r="J56" i="1" s="1"/>
  <c r="F54" i="1"/>
  <c r="J54" i="1" s="1"/>
  <c r="F50" i="1"/>
  <c r="J50" i="1" s="1"/>
  <c r="F49" i="1"/>
  <c r="J49" i="1" s="1"/>
  <c r="F46" i="1"/>
  <c r="J46" i="1" s="1"/>
  <c r="F44" i="1"/>
  <c r="J44" i="1" s="1"/>
  <c r="F43" i="1"/>
  <c r="J43" i="1" s="1"/>
  <c r="F42" i="1"/>
  <c r="J42" i="1" s="1"/>
  <c r="F41" i="1"/>
  <c r="J41" i="1" s="1"/>
  <c r="F48" i="1"/>
  <c r="J48" i="1" s="1"/>
  <c r="F39" i="1"/>
  <c r="J39" i="1" s="1"/>
  <c r="F36" i="1"/>
  <c r="J36" i="1" s="1"/>
  <c r="G33" i="1"/>
  <c r="F28" i="1"/>
  <c r="J28" i="1" s="1"/>
  <c r="F15" i="1"/>
  <c r="J15" i="1" s="1"/>
  <c r="F228" i="1" l="1"/>
  <c r="J228" i="1" s="1"/>
  <c r="J227" i="1"/>
  <c r="F47" i="1"/>
  <c r="J47" i="1" s="1"/>
  <c r="F30" i="1"/>
  <c r="J30" i="1" s="1"/>
  <c r="F55" i="1"/>
  <c r="J55" i="1" s="1"/>
  <c r="F29" i="1"/>
  <c r="J29" i="1" s="1"/>
  <c r="F32" i="1" l="1"/>
  <c r="J32" i="1" s="1"/>
  <c r="F31" i="1"/>
  <c r="J31" i="1" s="1"/>
  <c r="F64" i="1"/>
  <c r="J64" i="1" s="1"/>
  <c r="F63" i="1"/>
  <c r="J63" i="1" s="1"/>
  <c r="F33" i="1" l="1"/>
  <c r="J33" i="1" s="1"/>
  <c r="F65" i="1"/>
  <c r="J65" i="1" s="1"/>
  <c r="F181" i="1" l="1"/>
  <c r="J181" i="1" s="1"/>
  <c r="F192" i="1"/>
  <c r="J192" i="1" s="1"/>
  <c r="F67" i="1" l="1"/>
  <c r="J67" i="1" s="1"/>
  <c r="F66" i="1" l="1"/>
  <c r="J66" i="1" s="1"/>
  <c r="F68" i="1" l="1"/>
  <c r="J68" i="1" s="1"/>
  <c r="F22" i="1"/>
  <c r="J22" i="1" s="1"/>
  <c r="F23" i="1"/>
  <c r="J23" i="1" s="1"/>
  <c r="F19" i="1"/>
  <c r="J19" i="1" s="1"/>
  <c r="F17" i="1"/>
  <c r="J17" i="1" s="1"/>
  <c r="F16" i="1"/>
  <c r="J16" i="1" s="1"/>
  <c r="F11" i="1"/>
  <c r="J11" i="1" s="1"/>
  <c r="F9" i="1"/>
  <c r="J9" i="1" s="1"/>
  <c r="F18" i="1" l="1"/>
  <c r="J18" i="1" s="1"/>
  <c r="F26" i="1"/>
  <c r="J26" i="1" s="1"/>
  <c r="A2" i="1"/>
  <c r="A1" i="1"/>
  <c r="F174" i="1" l="1"/>
  <c r="F180" i="1"/>
  <c r="J180" i="1" s="1"/>
  <c r="F188" i="1"/>
  <c r="J188" i="1" s="1"/>
  <c r="F177" i="1"/>
  <c r="J177" i="1" s="1"/>
  <c r="F175" i="1" l="1"/>
  <c r="J175" i="1" s="1"/>
  <c r="J174" i="1"/>
  <c r="F208" i="1"/>
  <c r="J208" i="1" s="1"/>
  <c r="F178" i="1"/>
  <c r="J178" i="1" s="1"/>
  <c r="F179" i="1"/>
  <c r="J179" i="1" s="1"/>
  <c r="F190" i="1"/>
  <c r="J190" i="1" s="1"/>
  <c r="F189" i="1"/>
  <c r="J189" i="1" s="1"/>
  <c r="F191" i="1"/>
  <c r="J191" i="1" s="1"/>
  <c r="F263" i="1"/>
  <c r="J263" i="1" s="1"/>
  <c r="F52" i="1" l="1"/>
  <c r="J52" i="1" s="1"/>
</calcChain>
</file>

<file path=xl/sharedStrings.xml><?xml version="1.0" encoding="utf-8"?>
<sst xmlns="http://schemas.openxmlformats.org/spreadsheetml/2006/main" count="16450" uniqueCount="2662">
  <si>
    <t>Memória de Cálculo</t>
  </si>
  <si>
    <t>Item</t>
  </si>
  <si>
    <t>Descrição</t>
  </si>
  <si>
    <t>Und</t>
  </si>
  <si>
    <t>Quant.</t>
  </si>
  <si>
    <t>m²</t>
  </si>
  <si>
    <t xml:space="preserve"> 4 </t>
  </si>
  <si>
    <t xml:space="preserve"> 4.1 </t>
  </si>
  <si>
    <t>SERVIÇOS COMPLEMENTARES</t>
  </si>
  <si>
    <t>Limpeza final da obra</t>
  </si>
  <si>
    <t>_______________________________________________________________
Alexandre R. Gaino
Eng. Civil
5060435411</t>
  </si>
  <si>
    <t>Código</t>
  </si>
  <si>
    <t>Banco</t>
  </si>
  <si>
    <t>Valor Unit</t>
  </si>
  <si>
    <t xml:space="preserve"> 55.01.020 </t>
  </si>
  <si>
    <t>CPOS/CDHU</t>
  </si>
  <si>
    <t>Valor Unit com BDI</t>
  </si>
  <si>
    <t>Total</t>
  </si>
  <si>
    <t>Peso (%)</t>
  </si>
  <si>
    <t>Total sem BDI</t>
  </si>
  <si>
    <t>Total do BDI</t>
  </si>
  <si>
    <t>Total Geral</t>
  </si>
  <si>
    <t>BDI</t>
  </si>
  <si>
    <t>Planilha Orçamentária Sintética - estimativa de investimento</t>
  </si>
  <si>
    <t xml:space="preserve"> 1 </t>
  </si>
  <si>
    <t>SERVIÇOS PRELIMINARES</t>
  </si>
  <si>
    <t xml:space="preserve"> 1.1 </t>
  </si>
  <si>
    <t>CANTEIRO DE OBRAS</t>
  </si>
  <si>
    <t xml:space="preserve"> 1.1.1 </t>
  </si>
  <si>
    <t xml:space="preserve"> 02.08.050 </t>
  </si>
  <si>
    <t>Placa em lona com impressão digital e estrutura em madeira</t>
  </si>
  <si>
    <t>SINAPI</t>
  </si>
  <si>
    <t>UN</t>
  </si>
  <si>
    <t xml:space="preserve"> 1.1.3 </t>
  </si>
  <si>
    <t xml:space="preserve"> 02.02.160 </t>
  </si>
  <si>
    <t>Locação de container tipo guarita - área mínima de 4,60 m²</t>
  </si>
  <si>
    <t>UNMES</t>
  </si>
  <si>
    <t xml:space="preserve"> 1.1.4 </t>
  </si>
  <si>
    <t xml:space="preserve"> 02.10.020 </t>
  </si>
  <si>
    <t>Locação de obra de edificação</t>
  </si>
  <si>
    <t xml:space="preserve"> 1.2 </t>
  </si>
  <si>
    <t>PROJETOS E PROFISSIONAIS</t>
  </si>
  <si>
    <t xml:space="preserve"> 1.2.1 </t>
  </si>
  <si>
    <t xml:space="preserve"> 01.17.111 </t>
  </si>
  <si>
    <t>Projeto executivo de instalações elétricas em formato A1</t>
  </si>
  <si>
    <t xml:space="preserve"> 1.3 </t>
  </si>
  <si>
    <t>DEMOLIÇÕES E BOTA FORA</t>
  </si>
  <si>
    <t xml:space="preserve"> 1.3.1 </t>
  </si>
  <si>
    <t xml:space="preserve"> 03.01.040 </t>
  </si>
  <si>
    <t>Demolição manual de concreto armado</t>
  </si>
  <si>
    <t>m³</t>
  </si>
  <si>
    <t xml:space="preserve"> 1.3.2 </t>
  </si>
  <si>
    <t xml:space="preserve"> 03.02.040 </t>
  </si>
  <si>
    <t>Demolição manual de alvenaria de elevação ou elemento vazado, incluindo revestimento</t>
  </si>
  <si>
    <t xml:space="preserve"> 1.3.3 </t>
  </si>
  <si>
    <t xml:space="preserve"> 04.02.110 </t>
  </si>
  <si>
    <t>Retirada de estrutura em madeira pontaletada - telhas perfil qualquer</t>
  </si>
  <si>
    <t xml:space="preserve"> 1.3.4 </t>
  </si>
  <si>
    <t xml:space="preserve"> 04.03.040 </t>
  </si>
  <si>
    <t>Retirada de telhamento perfil e material qualquer, exceto barro</t>
  </si>
  <si>
    <t xml:space="preserve"> 1.3.5 </t>
  </si>
  <si>
    <t xml:space="preserve"> 04.09.020 </t>
  </si>
  <si>
    <t>Retirada de esquadria metálica em geral</t>
  </si>
  <si>
    <t xml:space="preserve"> 1.3.6 </t>
  </si>
  <si>
    <t xml:space="preserve"> 03.07.030 </t>
  </si>
  <si>
    <t>Demolição (levantamento) mecanizada de pavimento asfáltico, inclusive fragmentação e acomodação do material</t>
  </si>
  <si>
    <t xml:space="preserve"> 1.3.7 </t>
  </si>
  <si>
    <t xml:space="preserve"> 03.01.250 </t>
  </si>
  <si>
    <t>Demolição mecanizada de pavimento ou piso em concreto, inclusive fragmentação e acomodação do material</t>
  </si>
  <si>
    <t xml:space="preserve"> 1.3.8 </t>
  </si>
  <si>
    <t xml:space="preserve"> 04.09.140 </t>
  </si>
  <si>
    <t>Retirada de poste ou sistema de sustentação para alambrado ou fechamento</t>
  </si>
  <si>
    <t xml:space="preserve"> 1.3.9 </t>
  </si>
  <si>
    <t xml:space="preserve"> 04.09.160 </t>
  </si>
  <si>
    <t>Retirada de entelamento metálico em geral</t>
  </si>
  <si>
    <t xml:space="preserve"> 1.3.10 </t>
  </si>
  <si>
    <t xml:space="preserve"> 04.40.030 </t>
  </si>
  <si>
    <t>Retirada manual de guia pré-moldada, inclusive limpeza e empilhamento</t>
  </si>
  <si>
    <t>M</t>
  </si>
  <si>
    <t xml:space="preserve"> 1.3.11 </t>
  </si>
  <si>
    <t xml:space="preserve"> 34.13.041 </t>
  </si>
  <si>
    <t>Corte, recorte e remoção de árvore inclusive as raízes - diâmetro (DAP)&gt;45cm&lt;60cm</t>
  </si>
  <si>
    <t xml:space="preserve"> 1.3.12 </t>
  </si>
  <si>
    <t xml:space="preserve"> 05.07.050 </t>
  </si>
  <si>
    <t>Remoção de entulho de obra com caçamba metálica - material volumoso e misturado por alvenaria, terra, madeira, papel, plástico e metal</t>
  </si>
  <si>
    <t xml:space="preserve"> 2 </t>
  </si>
  <si>
    <t>MOVIMENTO DE TERRA</t>
  </si>
  <si>
    <t xml:space="preserve"> 2.1 </t>
  </si>
  <si>
    <t xml:space="preserve"> 02.09.130 </t>
  </si>
  <si>
    <t>Limpeza mecanizada do terreno, inclusive troncos com diâmetro acima de 15 cm até 50 cm, com caminhão à disposição dentro da obra, até o raio de 1 km</t>
  </si>
  <si>
    <t xml:space="preserve"> 2.2 </t>
  </si>
  <si>
    <t xml:space="preserve"> 07.01.020 </t>
  </si>
  <si>
    <t>Escavação e carga mecanizada em solo de 1ª categoria, em campo aberto</t>
  </si>
  <si>
    <t xml:space="preserve"> 2.3 </t>
  </si>
  <si>
    <t xml:space="preserve"> 07.12.040 </t>
  </si>
  <si>
    <t>Aterro mecanizado por compensação, solo de 1ª categoria em campo aberto, sem compactação do aterro</t>
  </si>
  <si>
    <t xml:space="preserve"> 2.4 </t>
  </si>
  <si>
    <t xml:space="preserve"> 07.12.030 </t>
  </si>
  <si>
    <t>Compactação de aterro mecanizado a 100% PN, sem fornecimento de solo em campo aberto</t>
  </si>
  <si>
    <t xml:space="preserve"> 2.5 </t>
  </si>
  <si>
    <t xml:space="preserve"> 05.10.010 </t>
  </si>
  <si>
    <t>Carregamento mecanizado de solo de 1ª e 2ª categoria</t>
  </si>
  <si>
    <t xml:space="preserve"> 2.6 </t>
  </si>
  <si>
    <t xml:space="preserve"> 05.10.034 </t>
  </si>
  <si>
    <t>Transporte de solo brejoso por caminhão para distâncias superiores ao 10° km até o 15° km</t>
  </si>
  <si>
    <t xml:space="preserve"> 3 </t>
  </si>
  <si>
    <t>INFRAESTRUTURA</t>
  </si>
  <si>
    <t xml:space="preserve"> 3.1 </t>
  </si>
  <si>
    <t>ESTACAS</t>
  </si>
  <si>
    <t xml:space="preserve"> 3.1.1 </t>
  </si>
  <si>
    <t xml:space="preserve"> 12.05.020 </t>
  </si>
  <si>
    <t>Estaca escavada mecanicamente, diâmetro de 25 cm até 20 t</t>
  </si>
  <si>
    <t xml:space="preserve"> 3.1.2 </t>
  </si>
  <si>
    <t xml:space="preserve"> 01.23.200 </t>
  </si>
  <si>
    <t>Taxa de mobilização e desmobilização de equipamentos para execução de perfuração em concreto</t>
  </si>
  <si>
    <t>TX</t>
  </si>
  <si>
    <t xml:space="preserve"> 3.1.3 </t>
  </si>
  <si>
    <t xml:space="preserve"> 3.2 </t>
  </si>
  <si>
    <t>VIGAS BALDRAME</t>
  </si>
  <si>
    <t xml:space="preserve"> 3.2.1 </t>
  </si>
  <si>
    <t xml:space="preserve"> 06.01.020 </t>
  </si>
  <si>
    <t>Escavação manual em solo de 1ª e 2ª categoria em campo aberto</t>
  </si>
  <si>
    <t xml:space="preserve"> 3.2.2 </t>
  </si>
  <si>
    <t xml:space="preserve"> 94098 </t>
  </si>
  <si>
    <t>PREPARO DE FUNDO DE VALA  COM LARGURA MENOR QUE 1,5 M, EM LOCAL COM NÍVEL ALTO DE INTERFERÊNCIA. AF_06/2016</t>
  </si>
  <si>
    <t xml:space="preserve"> 3.2.3 </t>
  </si>
  <si>
    <t xml:space="preserve"> 09.01.020 </t>
  </si>
  <si>
    <t>Forma em madeira comum para fundação</t>
  </si>
  <si>
    <t xml:space="preserve"> 3.2.4 </t>
  </si>
  <si>
    <t xml:space="preserve"> 11.18.040 </t>
  </si>
  <si>
    <t>Lastro de pedra britada</t>
  </si>
  <si>
    <t xml:space="preserve"> 3.2.5 </t>
  </si>
  <si>
    <t xml:space="preserve"> 10.01.040 </t>
  </si>
  <si>
    <t>Armadura em barra de aço CA-50 (A ou B) fyk = 500 MPa</t>
  </si>
  <si>
    <t>KG</t>
  </si>
  <si>
    <t xml:space="preserve"> 3.2.6 </t>
  </si>
  <si>
    <t xml:space="preserve"> 11.01.290 </t>
  </si>
  <si>
    <t>Concreto usinado, fck = 25 MPa - para bombeamento</t>
  </si>
  <si>
    <t xml:space="preserve"> 3.2.7 </t>
  </si>
  <si>
    <t xml:space="preserve"> 11.16.040 </t>
  </si>
  <si>
    <t>Lançamento e adensamento de concreto ou massa em fundação</t>
  </si>
  <si>
    <t xml:space="preserve"> 3.2.8 </t>
  </si>
  <si>
    <t xml:space="preserve"> 32.15.030 </t>
  </si>
  <si>
    <t>Impermeabilização em manta asfáltica com armadura, tipo III-B, espessura de 3 mm</t>
  </si>
  <si>
    <t xml:space="preserve"> 3.2.9 </t>
  </si>
  <si>
    <t xml:space="preserve"> 06.11.020 </t>
  </si>
  <si>
    <t>Reaterro manual para simples regularização sem compactação</t>
  </si>
  <si>
    <t xml:space="preserve"> 3.2.10 </t>
  </si>
  <si>
    <t xml:space="preserve"> 05.07.040 </t>
  </si>
  <si>
    <t>Remoção de entulho separado de obra com caçamba metálica - terra, alvenaria, concreto, argamassa, madeira, papel, plástico ou metal</t>
  </si>
  <si>
    <t>SUPERESTRUTURA</t>
  </si>
  <si>
    <t xml:space="preserve"> 4.2 </t>
  </si>
  <si>
    <t xml:space="preserve"> 09.01.030 </t>
  </si>
  <si>
    <t>Forma em madeira comum para estrutura</t>
  </si>
  <si>
    <t xml:space="preserve"> 4.3 </t>
  </si>
  <si>
    <t xml:space="preserve"> 4.4 </t>
  </si>
  <si>
    <t xml:space="preserve"> 11.16.020 </t>
  </si>
  <si>
    <t>Lançamento, espalhamento e adensamento de concreto ou massa em lastro e/ou enchimento</t>
  </si>
  <si>
    <t xml:space="preserve"> 4.5 </t>
  </si>
  <si>
    <t xml:space="preserve"> 13.01.130 </t>
  </si>
  <si>
    <t>Laje pré-fabricada mista vigota treliçada/lajota cerâmica - LT 12 (8+4) e capa com concreto de 25 MPa</t>
  </si>
  <si>
    <t xml:space="preserve"> 5 </t>
  </si>
  <si>
    <t>PAREDES E PAINÉIS</t>
  </si>
  <si>
    <t xml:space="preserve"> 5.1 </t>
  </si>
  <si>
    <t xml:space="preserve"> 5.1.1 </t>
  </si>
  <si>
    <t xml:space="preserve"> 14.05.050 </t>
  </si>
  <si>
    <t>Alvenaria de bloco cerâmico estrutural de 14 cm</t>
  </si>
  <si>
    <t xml:space="preserve"> 5.1.2 </t>
  </si>
  <si>
    <t xml:space="preserve"> 5.1.3 </t>
  </si>
  <si>
    <t xml:space="preserve"> 11.05.040 </t>
  </si>
  <si>
    <t>Argamassa graute</t>
  </si>
  <si>
    <t xml:space="preserve"> 6 </t>
  </si>
  <si>
    <t>ESQUADRIAS</t>
  </si>
  <si>
    <t xml:space="preserve"> 6.1 </t>
  </si>
  <si>
    <t xml:space="preserve"> 25.01.060 </t>
  </si>
  <si>
    <t>Caixilho em alumínio maxim-ar, sob medida</t>
  </si>
  <si>
    <t xml:space="preserve"> 6.2 </t>
  </si>
  <si>
    <t xml:space="preserve"> 25.01.240 </t>
  </si>
  <si>
    <t>Caixilho fixo em alumínio, sob medida - branco</t>
  </si>
  <si>
    <t xml:space="preserve"> 6.3 </t>
  </si>
  <si>
    <t xml:space="preserve"> 25.01.080 </t>
  </si>
  <si>
    <t>Caixilho em alumínio de correr, sob medida</t>
  </si>
  <si>
    <t xml:space="preserve"> 6.4 </t>
  </si>
  <si>
    <t xml:space="preserve"> 26.02.040 </t>
  </si>
  <si>
    <t>Vidro temperado incolor de 8 mm</t>
  </si>
  <si>
    <t xml:space="preserve"> 6.5 </t>
  </si>
  <si>
    <t xml:space="preserve"> 26.03.070 </t>
  </si>
  <si>
    <t>Vidro laminado temperado incolor de 8mm</t>
  </si>
  <si>
    <t xml:space="preserve"> 6.6 </t>
  </si>
  <si>
    <t xml:space="preserve"> 32.06.231 </t>
  </si>
  <si>
    <t>Película de controle solar refletiva na cor prata, aplicado em vidros</t>
  </si>
  <si>
    <t xml:space="preserve"> 6.7 </t>
  </si>
  <si>
    <t xml:space="preserve"> G0072 </t>
  </si>
  <si>
    <t>Próprio</t>
  </si>
  <si>
    <t>REPARO DE ESQUADRIA METÁLICA, INCLUSO REMOÇÃO E REINSTALAÇÃO - 04/2021</t>
  </si>
  <si>
    <t>M²</t>
  </si>
  <si>
    <t xml:space="preserve"> 7 </t>
  </si>
  <si>
    <t>COBERTURA</t>
  </si>
  <si>
    <t xml:space="preserve"> 7.1 </t>
  </si>
  <si>
    <t xml:space="preserve"> 15.03.030 </t>
  </si>
  <si>
    <t>Fornecimento e montagem de estrutura em aço ASTM-A36, sem pintura</t>
  </si>
  <si>
    <t xml:space="preserve"> 7.2 </t>
  </si>
  <si>
    <t xml:space="preserve"> 16.12.060 </t>
  </si>
  <si>
    <t>Telhamento em chapa de aço pré-pintada com epóxi e poliéster, perfil trapezoidal, com espessura de 0,50 mm e altura de 40 mm</t>
  </si>
  <si>
    <t xml:space="preserve"> 7.3 </t>
  </si>
  <si>
    <t xml:space="preserve"> 16.33.052 </t>
  </si>
  <si>
    <t>Calha, rufo, afins em chapa galvanizada nº 24 - corte 0,50 m</t>
  </si>
  <si>
    <t xml:space="preserve"> 7.4 </t>
  </si>
  <si>
    <t xml:space="preserve"> 21.03.151 </t>
  </si>
  <si>
    <t>Revestimento em placa de alumínio composto "ACM", espessura de 4 mm e acabamento em PVDF</t>
  </si>
  <si>
    <t xml:space="preserve"> 8 </t>
  </si>
  <si>
    <t>INSTALAÇÕES HIDRÁULICAS</t>
  </si>
  <si>
    <t xml:space="preserve"> 8.1 </t>
  </si>
  <si>
    <t>REDE DE ESGOTO SANITÁRIO</t>
  </si>
  <si>
    <t xml:space="preserve"> 8.1.1 </t>
  </si>
  <si>
    <t xml:space="preserve"> 46.01.040 </t>
  </si>
  <si>
    <t>Tubo de PVC rígido soldável marrom, DN= 40 mm, (1 1/4´), inclusive conexões</t>
  </si>
  <si>
    <t xml:space="preserve"> 8.1.2 </t>
  </si>
  <si>
    <t xml:space="preserve"> 46.02.050 </t>
  </si>
  <si>
    <t>Tubo de PVC rígido branco PxB com virola e anel de borracha, linha esgoto série normal, DN= 50 mm, inclusive conexões</t>
  </si>
  <si>
    <t xml:space="preserve"> 8.1.3 </t>
  </si>
  <si>
    <t xml:space="preserve"> 46.02.070 </t>
  </si>
  <si>
    <t>Tubo de PVC rígido branco PxB com virola e anel de borracha, linha esgoto série normal, DN= 100 mm, inclusive conexões</t>
  </si>
  <si>
    <t xml:space="preserve"> 8.1.4 </t>
  </si>
  <si>
    <t xml:space="preserve"> 42.05.320 </t>
  </si>
  <si>
    <t>Caixa de inspeção do terra cilíndrica em PVC rígido, diâmetro de 300 mm - h= 400 mm</t>
  </si>
  <si>
    <t xml:space="preserve"> 8.1.5 </t>
  </si>
  <si>
    <t xml:space="preserve"> 49.03.036 </t>
  </si>
  <si>
    <t>Caixa de gordura em PVC com tampa reforçada - capacidade 19 litros</t>
  </si>
  <si>
    <t xml:space="preserve"> 8.1.6 </t>
  </si>
  <si>
    <t xml:space="preserve"> 47.05.080 </t>
  </si>
  <si>
    <t>Válvula de retenção horizontal em bronze, DN= 4´</t>
  </si>
  <si>
    <t xml:space="preserve"> 8.1.7 </t>
  </si>
  <si>
    <t xml:space="preserve"> 49.01.020 </t>
  </si>
  <si>
    <t>Caixa sifonada de PVC rígido de 100 x 150 x 50 mm, com grelha</t>
  </si>
  <si>
    <t xml:space="preserve"> 8.1.8 </t>
  </si>
  <si>
    <t xml:space="preserve"> 49.01.030 </t>
  </si>
  <si>
    <t>Caixa sifonada de PVC rígido de 150 x 150 x 50 mm, com grelha</t>
  </si>
  <si>
    <t xml:space="preserve"> 8.1.9 </t>
  </si>
  <si>
    <t xml:space="preserve"> 053021 </t>
  </si>
  <si>
    <t>SBC</t>
  </si>
  <si>
    <t>FOSSA SEPTICA BIODIGESTOR 1.300L FUNDO CONICO ACQUALIMP</t>
  </si>
  <si>
    <t xml:space="preserve"> 8.2 </t>
  </si>
  <si>
    <t>REDE DE ÁGUA FRIA</t>
  </si>
  <si>
    <t xml:space="preserve"> 8.2.1 </t>
  </si>
  <si>
    <t xml:space="preserve"> 47.01.030 </t>
  </si>
  <si>
    <t>Registro de gaveta em latão fundido sem acabamento, DN= 1´</t>
  </si>
  <si>
    <t xml:space="preserve"> 8.2.2 </t>
  </si>
  <si>
    <t xml:space="preserve"> 46.01.020 </t>
  </si>
  <si>
    <t>Tubo de PVC rígido soldável marrom, DN= 25 mm, (3/4´), inclusive conexões</t>
  </si>
  <si>
    <t xml:space="preserve"> 8.2.3 </t>
  </si>
  <si>
    <t xml:space="preserve"> 46.01.050 </t>
  </si>
  <si>
    <t>Tubo de PVC rígido soldável marrom, DN= 50 mm, (1 1/2´), inclusive conexões</t>
  </si>
  <si>
    <t xml:space="preserve"> 8.2.4 </t>
  </si>
  <si>
    <t xml:space="preserve"> 8.2.5 </t>
  </si>
  <si>
    <t xml:space="preserve"> 47.01.191 </t>
  </si>
  <si>
    <t>Válvula de esfera monobloco em latão, passagem plena, acionamento com alavanca, DN= 1.1/4´</t>
  </si>
  <si>
    <t xml:space="preserve"> 8.2.6 </t>
  </si>
  <si>
    <t xml:space="preserve"> 46.01.030 </t>
  </si>
  <si>
    <t>Tubo de PVC rígido soldável marrom, DN= 32 mm, (1´), inclusive conexões</t>
  </si>
  <si>
    <t xml:space="preserve"> 8.2.7 </t>
  </si>
  <si>
    <t xml:space="preserve"> 47.02.110 </t>
  </si>
  <si>
    <t>Registro de pressão em latão fundido cromado com canopla, DN= 3/4´ - linha especial</t>
  </si>
  <si>
    <t xml:space="preserve"> 8.2.8 </t>
  </si>
  <si>
    <t xml:space="preserve"> 47.04.040 </t>
  </si>
  <si>
    <t>Válvula de descarga com registro próprio, DN= 1 1/2´</t>
  </si>
  <si>
    <t xml:space="preserve"> 8.3 </t>
  </si>
  <si>
    <t>REDE DE ÁGUAS PLUVIAIS</t>
  </si>
  <si>
    <t xml:space="preserve"> 8.3.1 </t>
  </si>
  <si>
    <t xml:space="preserve"> 8.3.2 </t>
  </si>
  <si>
    <t xml:space="preserve"> 8.3.3 </t>
  </si>
  <si>
    <t xml:space="preserve"> 46.03.050 </t>
  </si>
  <si>
    <t>Tubo de PVC rígido PxB com virola e anel de borracha, linha esgoto série reforçada ´R´, DN= 100 mm, inclusive conexões</t>
  </si>
  <si>
    <t xml:space="preserve"> 97895 </t>
  </si>
  <si>
    <t>CAIXA ENTERRADA HIDRÁULICA RETANGULAR, EM CONCRETO PRÉ-MOLDADO, DIMENSÕES INTERNAS: 0,3X0,3X0,3 M. AF_12/2020</t>
  </si>
  <si>
    <t>SIURB</t>
  </si>
  <si>
    <t xml:space="preserve"> 8.4 </t>
  </si>
  <si>
    <t>LOUÇAS E METAIS</t>
  </si>
  <si>
    <t xml:space="preserve"> 8.4.1 </t>
  </si>
  <si>
    <t xml:space="preserve"> 44.01.800 </t>
  </si>
  <si>
    <t>Bacia sifonada com caixa de descarga acoplada sem tampa - 6 litros</t>
  </si>
  <si>
    <t>CJ</t>
  </si>
  <si>
    <t xml:space="preserve"> 8.4.2 </t>
  </si>
  <si>
    <t xml:space="preserve"> 44.01.160 </t>
  </si>
  <si>
    <t>Lavatório de louça pequeno com coluna suspensa - linha especial</t>
  </si>
  <si>
    <t xml:space="preserve"> 8.4.3 </t>
  </si>
  <si>
    <t xml:space="preserve"> 44.03.310 </t>
  </si>
  <si>
    <t>Torneira de mesa para lavatório, acionamento hidromecânico, com registro integrado regulador de vazão, em latão cromado, DN= 1/2´</t>
  </si>
  <si>
    <t xml:space="preserve"> 8.4.4 </t>
  </si>
  <si>
    <t xml:space="preserve"> 74125/002 </t>
  </si>
  <si>
    <t>ESPELHO CRISTAL ESPESSURA 4MM, COM MOLDURA EM ALUMINIO E COMPENSADO 6MM PLASTIFICADO COLADO</t>
  </si>
  <si>
    <t xml:space="preserve"> 8.4.5 </t>
  </si>
  <si>
    <t xml:space="preserve"> 95547 </t>
  </si>
  <si>
    <t>SABONETEIRA PLASTICA TIPO DISPENSER PARA SABONETE LIQUIDO COM RESERVATORIO 800 A 1500 ML, INCLUSO FIXAÇÃO. AF_01/2020</t>
  </si>
  <si>
    <t xml:space="preserve"> 8.4.6 </t>
  </si>
  <si>
    <t xml:space="preserve"> 101466 </t>
  </si>
  <si>
    <t>DISPENSER PAPEL TOALHA, DE PAREDE, MANUAL, PARA SANITÁRIOS - ABS - ALTO IMPACTO - AUTO CORTE</t>
  </si>
  <si>
    <t xml:space="preserve"> 8.4.7 </t>
  </si>
  <si>
    <t xml:space="preserve"> 8.4.8 </t>
  </si>
  <si>
    <t xml:space="preserve"> 44.03.050 </t>
  </si>
  <si>
    <t>Dispenser papel higiênico em ABS para rolão 300 / 600 m, com visor</t>
  </si>
  <si>
    <t xml:space="preserve"> 8.4.9 </t>
  </si>
  <si>
    <t xml:space="preserve"> 44.02.062 </t>
  </si>
  <si>
    <t>Tampo/bancada em granito, com frontão, espessura de 2 cm, acabamento polido</t>
  </si>
  <si>
    <t xml:space="preserve"> 8.4.10 </t>
  </si>
  <si>
    <t xml:space="preserve"> 8.4.11 </t>
  </si>
  <si>
    <t xml:space="preserve"> 44.03.590 </t>
  </si>
  <si>
    <t>Torneira de mesa para pia com bica móvel e arejador em latão fundido cromado</t>
  </si>
  <si>
    <t xml:space="preserve"> 44.03.400 </t>
  </si>
  <si>
    <t>Torneira curta com rosca para uso geral, em latão fundido cromado, DN= 3/4´</t>
  </si>
  <si>
    <t xml:space="preserve"> 8.5 </t>
  </si>
  <si>
    <t>DRENO AR CONDICIONADO</t>
  </si>
  <si>
    <t xml:space="preserve"> 8.5.1 </t>
  </si>
  <si>
    <t xml:space="preserve"> 89865 </t>
  </si>
  <si>
    <t>TUBO, PVC, SOLDÁVEL, DE 25MM, INSTALADO EM DRENO DE AR-CONDICIONADO - FORNECIMENTO E INSTALAÇÃO. AF_08/2022</t>
  </si>
  <si>
    <t xml:space="preserve"> 9 </t>
  </si>
  <si>
    <t>INSTALAÇÕES ELÉTRICAS</t>
  </si>
  <si>
    <t xml:space="preserve"> 9.1 </t>
  </si>
  <si>
    <t>ALIMENTADORES ELETRICOS - ENTRADA ENERGIA</t>
  </si>
  <si>
    <t xml:space="preserve"> 9.1.1 </t>
  </si>
  <si>
    <t xml:space="preserve"> 39.21.110 </t>
  </si>
  <si>
    <t>Cabo de cobre flexível de 95 mm², isolamento 0,6/1kV - isolação HEPR 90°C</t>
  </si>
  <si>
    <t xml:space="preserve"> 9.1.2 </t>
  </si>
  <si>
    <t xml:space="preserve"> 39.21.090 </t>
  </si>
  <si>
    <t>Cabo de cobre flexível de 50 mm², isolamento 0,6/1kV - isolação HEPR 90°C</t>
  </si>
  <si>
    <t xml:space="preserve"> 9.1.3 </t>
  </si>
  <si>
    <t xml:space="preserve"> 09.02.022 </t>
  </si>
  <si>
    <t>FDE</t>
  </si>
  <si>
    <t>AE-25 ABRIGO E ENTRADA DE ENERGIA PADRÃO MULTI 200 CPFL  CATEGORIA C-6</t>
  </si>
  <si>
    <t xml:space="preserve"> 9.2 </t>
  </si>
  <si>
    <t>QUADRO DE DISTRIBUIÇÃO ELÉTRICA</t>
  </si>
  <si>
    <t xml:space="preserve"> 9.2.1 </t>
  </si>
  <si>
    <t xml:space="preserve"> 9.2.2 </t>
  </si>
  <si>
    <t xml:space="preserve"> 69.03.130 </t>
  </si>
  <si>
    <t>Caixa subterrânea de entrada de telefonia, tipo R1 (550 x 350 x 550) mm, padrão TELEBRÁS, com tampa</t>
  </si>
  <si>
    <t xml:space="preserve"> 9.2.3 </t>
  </si>
  <si>
    <t xml:space="preserve"> 40.02.610 </t>
  </si>
  <si>
    <t>Caixa de passagem em alumínio fundido à prova de tempo, 200 x 200 mm</t>
  </si>
  <si>
    <t xml:space="preserve"> 9.3 </t>
  </si>
  <si>
    <t>Eletroduto em PVC rígido ou corrugado pesado</t>
  </si>
  <si>
    <t xml:space="preserve"> 9.3.1 </t>
  </si>
  <si>
    <t xml:space="preserve"> 38.19.020 </t>
  </si>
  <si>
    <t>Eletroduto de PVC corrugado flexível leve, diâmetro externo de 20 mm</t>
  </si>
  <si>
    <t xml:space="preserve"> 9.3.2 </t>
  </si>
  <si>
    <t xml:space="preserve"> 38.19.030 </t>
  </si>
  <si>
    <t>Eletroduto de PVC corrugado flexível leve, diâmetro externo de 25 mm</t>
  </si>
  <si>
    <t xml:space="preserve"> 9.3.3 </t>
  </si>
  <si>
    <t xml:space="preserve"> 38.13.030 </t>
  </si>
  <si>
    <t>Eletroduto corrugado em polietileno de alta densidade, DN= 75 mm, com acessórios</t>
  </si>
  <si>
    <t xml:space="preserve"> 9.4 </t>
  </si>
  <si>
    <t>Caixa de embutir</t>
  </si>
  <si>
    <t xml:space="preserve"> 9.4.1 </t>
  </si>
  <si>
    <t xml:space="preserve"> 40.07.010 </t>
  </si>
  <si>
    <t>Caixa em PVC de 4´ x 2´</t>
  </si>
  <si>
    <t xml:space="preserve"> 9.4.2 </t>
  </si>
  <si>
    <t xml:space="preserve"> 40.07.020 </t>
  </si>
  <si>
    <t>Caixa em PVC de 4´ x 4´</t>
  </si>
  <si>
    <t xml:space="preserve"> 9.4.3 </t>
  </si>
  <si>
    <t xml:space="preserve"> 40.01.080 </t>
  </si>
  <si>
    <t>Caixa de ferro octogonal fundo móvel 4´ x 4´</t>
  </si>
  <si>
    <t xml:space="preserve"> 9.5 </t>
  </si>
  <si>
    <t>CABOS</t>
  </si>
  <si>
    <t xml:space="preserve"> 9.5.1 </t>
  </si>
  <si>
    <t xml:space="preserve"> 39.24.151 </t>
  </si>
  <si>
    <t>Cabo de cobre flexível de 3 x 1,5 mm², isolamento 500 V - isolação PP 70°C</t>
  </si>
  <si>
    <t xml:space="preserve"> 9.5.2 </t>
  </si>
  <si>
    <t xml:space="preserve"> 39.02.016 </t>
  </si>
  <si>
    <t>Cabo de cobre de 2,5 mm², isolamento 750 V - isolação em PVC 70°C</t>
  </si>
  <si>
    <t xml:space="preserve"> 9.5.3 </t>
  </si>
  <si>
    <t xml:space="preserve"> 39.02.030 </t>
  </si>
  <si>
    <t>Cabo de cobre de 6 mm², isolamento 750 V - isolação em PVC 70°C</t>
  </si>
  <si>
    <t xml:space="preserve"> 9.5.4 </t>
  </si>
  <si>
    <t xml:space="preserve"> 39.02.010 </t>
  </si>
  <si>
    <t>Cabo de cobre de 1,5 mm², isolamento 750 V - isolação em PVC 70°C</t>
  </si>
  <si>
    <t xml:space="preserve"> 9.5.5 </t>
  </si>
  <si>
    <t xml:space="preserve"> 39.02.020 </t>
  </si>
  <si>
    <t>Cabo de cobre de 4 mm², isolamento 750 V - isolação em PVC 70°C</t>
  </si>
  <si>
    <t xml:space="preserve"> 9.6 </t>
  </si>
  <si>
    <t>TOMADAS</t>
  </si>
  <si>
    <t xml:space="preserve"> 9.6.1 </t>
  </si>
  <si>
    <t xml:space="preserve"> 40.04.450 </t>
  </si>
  <si>
    <t>Tomada 2P+T de 10 A - 250 V, completa</t>
  </si>
  <si>
    <t xml:space="preserve"> 9.6.2 </t>
  </si>
  <si>
    <t xml:space="preserve"> 40.04.460 </t>
  </si>
  <si>
    <t>Tomada 2P+T de 20 A - 250 V, completa</t>
  </si>
  <si>
    <t xml:space="preserve"> 9.6.3 </t>
  </si>
  <si>
    <t xml:space="preserve"> 69.20.340 </t>
  </si>
  <si>
    <t>Tomada para TV, tipo pino Jack, com placa</t>
  </si>
  <si>
    <t xml:space="preserve"> 9.6.4 </t>
  </si>
  <si>
    <t xml:space="preserve"> 40.04.096 </t>
  </si>
  <si>
    <t>Tomada RJ 45 para rede de dados, com placa</t>
  </si>
  <si>
    <t xml:space="preserve"> 9.6.5 </t>
  </si>
  <si>
    <t xml:space="preserve"> 9.6.6 </t>
  </si>
  <si>
    <t xml:space="preserve"> 40.05.020 </t>
  </si>
  <si>
    <t>Interruptor com 1 tecla simples e placa</t>
  </si>
  <si>
    <t xml:space="preserve"> 9.7 </t>
  </si>
  <si>
    <t>LUMINÁRIAS</t>
  </si>
  <si>
    <t xml:space="preserve"> 9.7.1 </t>
  </si>
  <si>
    <t xml:space="preserve"> 9.7.2 </t>
  </si>
  <si>
    <t xml:space="preserve"> 9.7.3 </t>
  </si>
  <si>
    <t xml:space="preserve"> 060126 </t>
  </si>
  <si>
    <t>PLAFON PLAFON 25W LED SOBREPOR BRANCO NEUTRO</t>
  </si>
  <si>
    <t xml:space="preserve"> 9.8 </t>
  </si>
  <si>
    <t>DISJUNTORES</t>
  </si>
  <si>
    <t xml:space="preserve"> 9.8.1 </t>
  </si>
  <si>
    <t xml:space="preserve"> 37.13.630 </t>
  </si>
  <si>
    <t>Disjuntor termomagnético, bipolar 220/380 V, corrente de 10 A até 50 A</t>
  </si>
  <si>
    <t xml:space="preserve"> 9.8.2 </t>
  </si>
  <si>
    <t xml:space="preserve"> 37.17.100 </t>
  </si>
  <si>
    <t>Dispositivo diferencial residual de 80 A x 30 mA - 4 polos</t>
  </si>
  <si>
    <t xml:space="preserve"> 9.8.3 </t>
  </si>
  <si>
    <t xml:space="preserve"> 090850 </t>
  </si>
  <si>
    <t>DISJUNTOR CAIXA MOLDADA TRIPOLAR 200A COM DISPARADOR TERMOMAGNÉTICO AJUSTÁVEL</t>
  </si>
  <si>
    <t xml:space="preserve"> 9.8.4 </t>
  </si>
  <si>
    <t xml:space="preserve"> 091703 </t>
  </si>
  <si>
    <t>DISPOSITIVO DE PROTEÇÃO CONTRA SURTOS - DPS - 1000 VCC - 45 KA - CLASSE I</t>
  </si>
  <si>
    <t xml:space="preserve"> 9.8.5 </t>
  </si>
  <si>
    <t xml:space="preserve"> 098025 </t>
  </si>
  <si>
    <t>TERMINAL OU CONECTOR DE PRESSÃO - PARA CABO 95MM2</t>
  </si>
  <si>
    <t xml:space="preserve"> 9.8.6 </t>
  </si>
  <si>
    <t xml:space="preserve"> 098023 </t>
  </si>
  <si>
    <t>TERMINAL OU CONECTOR DE PRESSÃO - PARA CABO 50MM2</t>
  </si>
  <si>
    <t xml:space="preserve"> 9.9 </t>
  </si>
  <si>
    <t>S.P.D.A. - conforme NBR 5419/15</t>
  </si>
  <si>
    <t xml:space="preserve"> 9.9.1 </t>
  </si>
  <si>
    <t xml:space="preserve"> 42.05.440 </t>
  </si>
  <si>
    <t>Barra condutora chata em alumínio de 7/8´ x 1/8´, inclusive acessórios de fixação</t>
  </si>
  <si>
    <t xml:space="preserve"> 9.9.2 </t>
  </si>
  <si>
    <t xml:space="preserve"> 42.01.090 </t>
  </si>
  <si>
    <t>Captor tipo terminal aéreo, h= 300 mm, diâmetro de 1/4´ em cobre</t>
  </si>
  <si>
    <t xml:space="preserve"> 9.9.3 </t>
  </si>
  <si>
    <t xml:space="preserve"> 39.09.120 </t>
  </si>
  <si>
    <t>Conector split-bolt para cabo de 35 mm², latão, com rabicho</t>
  </si>
  <si>
    <t xml:space="preserve"> 9.9.4 </t>
  </si>
  <si>
    <t xml:space="preserve"> 39.10.130 </t>
  </si>
  <si>
    <t>Terminal de pressão/compressão para cabo de 35 mm²</t>
  </si>
  <si>
    <t xml:space="preserve"> 9.9.5 </t>
  </si>
  <si>
    <t xml:space="preserve"> 39.04.050 </t>
  </si>
  <si>
    <t>Cabo de cobre nu, têmpera mole, classe 2, de 16 mm²</t>
  </si>
  <si>
    <t xml:space="preserve"> 9.9.6 </t>
  </si>
  <si>
    <t xml:space="preserve"> 39.04.080 </t>
  </si>
  <si>
    <t>Cabo de cobre nu, têmpera mole, classe 2, de 50 mm²</t>
  </si>
  <si>
    <t xml:space="preserve"> 9.9.7 </t>
  </si>
  <si>
    <t xml:space="preserve"> 42.05.200 </t>
  </si>
  <si>
    <t>Haste de aterramento de 5/8" x 2,4 m</t>
  </si>
  <si>
    <t xml:space="preserve"> 9.9.8 </t>
  </si>
  <si>
    <t xml:space="preserve"> 10 </t>
  </si>
  <si>
    <t>REVESTIMENTO DE FORROS</t>
  </si>
  <si>
    <t xml:space="preserve"> 10.1 </t>
  </si>
  <si>
    <t xml:space="preserve"> 17.02.020 </t>
  </si>
  <si>
    <t>Chapisco</t>
  </si>
  <si>
    <t xml:space="preserve"> 10.2 </t>
  </si>
  <si>
    <t xml:space="preserve"> 17.02.220 </t>
  </si>
  <si>
    <t>Reboco</t>
  </si>
  <si>
    <t xml:space="preserve"> 11 </t>
  </si>
  <si>
    <t>REVESTIMENTO DE PAREDES INTERNAS</t>
  </si>
  <si>
    <t xml:space="preserve"> 11.1 </t>
  </si>
  <si>
    <t xml:space="preserve"> 11.2 </t>
  </si>
  <si>
    <t xml:space="preserve"> 17.02.120 </t>
  </si>
  <si>
    <t>Emboço comum</t>
  </si>
  <si>
    <t xml:space="preserve"> 11.3 </t>
  </si>
  <si>
    <t xml:space="preserve"> 11.4 </t>
  </si>
  <si>
    <t xml:space="preserve"> 18.08.032 </t>
  </si>
  <si>
    <t>Revestimento em porcelanato esmaltado antiderrapante para área externa e ambiente com alto tráfego, grupo de absorção BIa, assentado com argamassa colante industrializada, rejuntado</t>
  </si>
  <si>
    <t xml:space="preserve"> 11.5 </t>
  </si>
  <si>
    <t xml:space="preserve"> 19.01.062 </t>
  </si>
  <si>
    <t>Peitoril e/ou soleira em granito, espessura de 2 cm e largura até 20 cm, acabamento polido</t>
  </si>
  <si>
    <t xml:space="preserve"> 12 </t>
  </si>
  <si>
    <t>REVESTIMENTO DE PAREDES EXTERNAS</t>
  </si>
  <si>
    <t xml:space="preserve"> 12.1 </t>
  </si>
  <si>
    <t xml:space="preserve"> 12.2 </t>
  </si>
  <si>
    <t xml:space="preserve"> 12.3 </t>
  </si>
  <si>
    <t xml:space="preserve"> 13 </t>
  </si>
  <si>
    <t>PISOS</t>
  </si>
  <si>
    <t xml:space="preserve"> 13.1 </t>
  </si>
  <si>
    <t>INTERNO</t>
  </si>
  <si>
    <t xml:space="preserve"> 13.1.1 </t>
  </si>
  <si>
    <t xml:space="preserve"> 87690 </t>
  </si>
  <si>
    <t>CONTRAPISO EM ARGAMASSA TRAÇO 1:4 (CIMENTO E AREIA), PREPARO MECÂNICO COM BETONEIRA 400 L, APLICADO EM ÁREAS SECAS SOBRE LAJE, NÃO ADERIDO, ACABAMENTO NÃO REFORÇADO, ESPESSURA 5CM. AF_07/2021</t>
  </si>
  <si>
    <t xml:space="preserve"> 13.1.2 </t>
  </si>
  <si>
    <t xml:space="preserve"> 17.01.050 </t>
  </si>
  <si>
    <t>Regularização de piso com nata de cimento</t>
  </si>
  <si>
    <t xml:space="preserve"> 13.1.3 </t>
  </si>
  <si>
    <t xml:space="preserve"> 10.02.020 </t>
  </si>
  <si>
    <t>Armadura em tela soldada de aço</t>
  </si>
  <si>
    <t xml:space="preserve"> 13.1.4 </t>
  </si>
  <si>
    <t xml:space="preserve"> 13.1.5 </t>
  </si>
  <si>
    <t xml:space="preserve"> 13.2 </t>
  </si>
  <si>
    <t>PISO DO CALÇAMENTO EXTERNO</t>
  </si>
  <si>
    <t xml:space="preserve"> 13.2.1 </t>
  </si>
  <si>
    <t xml:space="preserve"> 07.12.020 </t>
  </si>
  <si>
    <t>Compactação de aterro mecanizado mínimo de 95% PN, sem fornecimento de solo em campo aberto</t>
  </si>
  <si>
    <t xml:space="preserve"> 13.2.2 </t>
  </si>
  <si>
    <t xml:space="preserve"> 13.2.3 </t>
  </si>
  <si>
    <t xml:space="preserve"> 13.2.4 </t>
  </si>
  <si>
    <t xml:space="preserve"> 13.2.5 </t>
  </si>
  <si>
    <t xml:space="preserve"> 13.2.6 </t>
  </si>
  <si>
    <t xml:space="preserve"> 11.20.050 </t>
  </si>
  <si>
    <t>Corte de junta de dilatação, com serra de disco diamantado para pisos</t>
  </si>
  <si>
    <t xml:space="preserve"> 13.2.7 </t>
  </si>
  <si>
    <t xml:space="preserve"> 11.16.220 </t>
  </si>
  <si>
    <t>Nivelamento de piso em concreto com acabadora de superfície</t>
  </si>
  <si>
    <t xml:space="preserve"> 13.2.8 </t>
  </si>
  <si>
    <t xml:space="preserve"> 94268 </t>
  </si>
  <si>
    <t>GUIA (MEIO-FIO) E SARJETA CONJUGADOS DE CONCRETO, MOLDADA  IN LOCO  EM TRECHO CURVO COM EXTRUSORA, 45 CM BASE (15 CM BASE DA GUIA + 30 CM BASE DA SARJETA) X 22 CM ALTURA. AF_06/2016</t>
  </si>
  <si>
    <t xml:space="preserve"> 13.2.9 </t>
  </si>
  <si>
    <t xml:space="preserve"> 94269 </t>
  </si>
  <si>
    <t>GUIA (MEIO-FIO) E SARJETA CONJUGADOS DE CONCRETO, MOLDADA  IN LOCO  EM TRECHO RETO COM EXTRUSORA, 60 CM BASE (15 CM BASE DA GUIA + 45 CM BASE DA SARJETA) X 26 CM ALTURA. AF_06/2016</t>
  </si>
  <si>
    <t xml:space="preserve"> 13.3 </t>
  </si>
  <si>
    <t>PISOS INTERTRAVADO DE ALTO TRÁFEGO</t>
  </si>
  <si>
    <t xml:space="preserve"> 13.3.1 </t>
  </si>
  <si>
    <t xml:space="preserve"> 54.01.210 </t>
  </si>
  <si>
    <t>Base de brita graduada</t>
  </si>
  <si>
    <t xml:space="preserve"> 13.3.2 </t>
  </si>
  <si>
    <t xml:space="preserve"> 170211 </t>
  </si>
  <si>
    <t>PISO DE CONCRETO INTERTRAVADO, ESPESSURA 8CM</t>
  </si>
  <si>
    <t xml:space="preserve"> 13.3.3 </t>
  </si>
  <si>
    <t xml:space="preserve"> 54.06.160 </t>
  </si>
  <si>
    <t>Sarjeta ou sarjetão moldado no local, tipo PMSP em concreto com fck 20 MPa</t>
  </si>
  <si>
    <t xml:space="preserve"> 14 </t>
  </si>
  <si>
    <t>PINTURA</t>
  </si>
  <si>
    <t xml:space="preserve"> 14.1 </t>
  </si>
  <si>
    <t xml:space="preserve"> 33.10.050 </t>
  </si>
  <si>
    <t>Tinta acrílica em massa, inclusive preparo</t>
  </si>
  <si>
    <t xml:space="preserve"> 14.2 </t>
  </si>
  <si>
    <t xml:space="preserve"> 33.11.050 </t>
  </si>
  <si>
    <t>Esmalte à base água em superfície metálica, inclusive preparo</t>
  </si>
  <si>
    <t xml:space="preserve"> 15 </t>
  </si>
  <si>
    <t>FECHAMENTO FRONTAL</t>
  </si>
  <si>
    <t xml:space="preserve"> 15.1 </t>
  </si>
  <si>
    <t xml:space="preserve"> 15.1.1 </t>
  </si>
  <si>
    <t xml:space="preserve"> 15.2 </t>
  </si>
  <si>
    <t>GRADIL</t>
  </si>
  <si>
    <t xml:space="preserve"> 15.2.1 </t>
  </si>
  <si>
    <t xml:space="preserve"> 15.2.2 </t>
  </si>
  <si>
    <t xml:space="preserve"> 15.2.3 </t>
  </si>
  <si>
    <t xml:space="preserve"> 32.17.010 </t>
  </si>
  <si>
    <t>Impermeabilização em argamassa impermeável com aditivo hidrófugo</t>
  </si>
  <si>
    <t xml:space="preserve"> 15.2.4 </t>
  </si>
  <si>
    <t xml:space="preserve"> 14.11.261 </t>
  </si>
  <si>
    <t>Alvenaria de bloco de concreto estrutural 14 cm - classe A</t>
  </si>
  <si>
    <t xml:space="preserve"> 15.2.5 </t>
  </si>
  <si>
    <t xml:space="preserve"> 15.2.6 </t>
  </si>
  <si>
    <t xml:space="preserve"> 15.2.7 </t>
  </si>
  <si>
    <t xml:space="preserve"> 34.05.310 </t>
  </si>
  <si>
    <t>Gradil de ferro perfilado, tipo parque</t>
  </si>
  <si>
    <t xml:space="preserve"> 15.2.8 </t>
  </si>
  <si>
    <t xml:space="preserve"> 16.33.410 </t>
  </si>
  <si>
    <t>Rufo pré-moldado em concreto, de 20 x 50 x 26 cm</t>
  </si>
  <si>
    <t xml:space="preserve"> 15.2.9 </t>
  </si>
  <si>
    <t xml:space="preserve"> 15.2.10 </t>
  </si>
  <si>
    <t xml:space="preserve"> 15.2.11 </t>
  </si>
  <si>
    <t xml:space="preserve"> 15.2.12 </t>
  </si>
  <si>
    <t xml:space="preserve"> 15.3 </t>
  </si>
  <si>
    <t>REATERRO E BOTA-FORA</t>
  </si>
  <si>
    <t xml:space="preserve"> 15.3.1 </t>
  </si>
  <si>
    <t xml:space="preserve"> 15.3.2 </t>
  </si>
  <si>
    <t xml:space="preserve"> 16 </t>
  </si>
  <si>
    <t xml:space="preserve"> 16.1 </t>
  </si>
  <si>
    <t>LIMPEZA</t>
  </si>
  <si>
    <t xml:space="preserve"> 16.1.1 </t>
  </si>
  <si>
    <t xml:space="preserve"> 16.2 </t>
  </si>
  <si>
    <t>PAISAGISMO</t>
  </si>
  <si>
    <t xml:space="preserve"> 16.2.1 </t>
  </si>
  <si>
    <t xml:space="preserve"> 34.02.100 </t>
  </si>
  <si>
    <t>Plantio de grama esmeralda em placas (jardins e canteiros)</t>
  </si>
  <si>
    <t xml:space="preserve"> 16.2.2 </t>
  </si>
  <si>
    <t xml:space="preserve"> 34.01.010 </t>
  </si>
  <si>
    <t>Terra vegetal orgânica comum</t>
  </si>
  <si>
    <t xml:space="preserve"> 16.3 </t>
  </si>
  <si>
    <t>OBRA: PORTARIA DA UNIVERSIDADE FRANCO MONTORO</t>
  </si>
  <si>
    <t>Tapume fixo em painel OSB - espessura 8 mm</t>
  </si>
  <si>
    <t>1,50m  x 3,00m</t>
  </si>
  <si>
    <t>(6,3m+95,21m+11,96m+7,63m) de comprimento * 1,80m de altura</t>
  </si>
  <si>
    <t>3 meses conforme cronograma</t>
  </si>
  <si>
    <t>13,8m de comprimento*7,45m de largura</t>
  </si>
  <si>
    <t>pranchas estimadas</t>
  </si>
  <si>
    <t>15m de comprimento*4m de altura*0,15m de espessura - estimado</t>
  </si>
  <si>
    <t>12,23m de comprimento*6,67m de largura</t>
  </si>
  <si>
    <t>mesma área da estrutura</t>
  </si>
  <si>
    <t>(0,6m de largura*0,6m de altura da janela)+(1,2m de largura*1m de altura*3 janelas)+(0,9m de largura*2,1m de altura da porta)</t>
  </si>
  <si>
    <t>área levantada em CAD</t>
  </si>
  <si>
    <t>71,5m de comprimento*2,20m</t>
  </si>
  <si>
    <t>176m de comprimento conforme levantamento</t>
  </si>
  <si>
    <t>(71,5m de comprimento/2,5m)+(28m de comprimento/0,3m)</t>
  </si>
  <si>
    <t>conforme projeto</t>
  </si>
  <si>
    <t>2 m de largura*5,4m de comprimento*0,1m de espessura</t>
  </si>
  <si>
    <t>(1,08m³ do concreto+9m³ de alvenaria+(81,57m² da estrutura*0,1m de espessura estimado)+(5,85m² das esquadrias*0,05m de espessura)+(193,50m² do asfalto*0,15m de espessura)+(298,50m² de bloquete*0,08m de espessura)+(157,30m² do entelamento*0,03m de espessura)+(176m de guia*0,1m² da seção da guia))*1,3 do empolamento</t>
  </si>
  <si>
    <t>701,85m² da área de passeio e obra</t>
  </si>
  <si>
    <t>701,85m² da área*0,15m de espessura</t>
  </si>
  <si>
    <t>701,85m² da área*0,3m de espessura</t>
  </si>
  <si>
    <t>mesmo volume do aterro</t>
  </si>
  <si>
    <t>105,28m³ da escavação*1,3 do empolamento</t>
  </si>
  <si>
    <t>ver planilha [368 - O - 2660 - 35 - 001_0.xlsx], aba Estacas</t>
  </si>
  <si>
    <t>1 taxa</t>
  </si>
  <si>
    <t>ver planilha [368 - O - 2660 - 35 - 001_0.xlsx], aba Estacas*1,3 do empolamento</t>
  </si>
  <si>
    <t>ver planilha [368 - O - 2660 - 35 - 001_0.xlsx], aba Vigas Baldrames</t>
  </si>
  <si>
    <t>ver planilha [368 - O - 2660 - 35 - 001_0.xlsx], aba Vigas Baldrames e aba Blocos</t>
  </si>
  <si>
    <t>ver planilha [368 - O - 2660 - 35 - 001_0.xlsx], aba Pilar e aba Beiral</t>
  </si>
  <si>
    <t>mesmo volume do concreto</t>
  </si>
  <si>
    <t>ver planilha [368 - O - 2660 - 35 - 001_0.xlsx],aba Laje</t>
  </si>
  <si>
    <t>ver planilha [368 - O - 2660 - 35 - 001_0.xlsx], aba Alvenarias e Fechamentos</t>
  </si>
  <si>
    <t>ver planilha [368 - O - 2660 - 35 - 001_0.xlsx], aba Grout</t>
  </si>
  <si>
    <t>ver planilha [368 - O - 2660 - 35 - 001_0.xlsx], aba Esquadrias</t>
  </si>
  <si>
    <t>2,76m² + 1,9m² da área de vidros</t>
  </si>
  <si>
    <t>5,5m de largura*2,2m de altura*2 portões</t>
  </si>
  <si>
    <t>(370,8kg+190,2kg+214,7kg+986,5kg)+1860kg conforme projeto de estrutura metálica</t>
  </si>
  <si>
    <t>ver planilha [368 - O - 2660 - 35 - 001_0.xlsx], aba Coberturas</t>
  </si>
  <si>
    <t>CANAL PARA ÁGUAS PLUVIAIS</t>
  </si>
  <si>
    <t xml:space="preserve"> 6514 </t>
  </si>
  <si>
    <t>FORNECIMENTO E LANCAMENTO DE BRITA N. 4</t>
  </si>
  <si>
    <t xml:space="preserve"> 96533 </t>
  </si>
  <si>
    <t>CONCRETAGEM DE RADIER, PISO DE CONCRETO OU LAJE SOBRE SOLO, FCK 30 MPA - LANÇAMENTO, ADENSAMENTO E ACABAMENTO. AF_09/2021</t>
  </si>
  <si>
    <t>LANÇAMENTO COM USO DE BOMBA, ADENSAMENTO E ACABAMENTO DE CONCRETO EM ESTRUTURAS. AF_02/2022</t>
  </si>
  <si>
    <t xml:space="preserve"> 14.02.040 </t>
  </si>
  <si>
    <t>Alvenaria de elevação de 1 tijolo maciço comum</t>
  </si>
  <si>
    <t>(9,6m de comprimento da forma da base*0,06m de altura)+(8,65m de comprimento da forma da laje*0,06m de altura)</t>
  </si>
  <si>
    <t>3,70m² da área do canal*0,05m de espessura</t>
  </si>
  <si>
    <t>(4,6m² da área de base+3,70m² da área da laje)*2,2kg para o peso Q 138</t>
  </si>
  <si>
    <t>(4,6m²*0,06m de altura da base)*(3,7m²*0,06m de altura da tampa)</t>
  </si>
  <si>
    <t>mesma volume do concreto</t>
  </si>
  <si>
    <t>2,65m de canal*0,2m de largura*0,09m de altura*2 lados</t>
  </si>
  <si>
    <t>0,4m de largura*0,6m de altura</t>
  </si>
  <si>
    <t>1,2m de comprimento*0,55m de largura</t>
  </si>
  <si>
    <t>conforme croqui</t>
  </si>
  <si>
    <t>((3m+4m+3m+4m+3m+10,2m+3m+4m+3m+4m+m3)/2m) conforme croqui</t>
  </si>
  <si>
    <t>verb planilha [368 - O - 2660 - 35 - 001_0.xlsx], aba Acabamentos</t>
  </si>
  <si>
    <t>ver planilha [368 - O - 2660 - 35 - 001_0.xlsx], aba Acabamentos</t>
  </si>
  <si>
    <t>ver planilha [368 - O - 2660 - 35 - 001_0.xlsx], aba Fachadas</t>
  </si>
  <si>
    <t>ver planilha [368 - O - 2660 - 35 - 001_0.xlsx]k, aba Acabamentos</t>
  </si>
  <si>
    <t>9,50m² da área de piso * 0,97 para o peso das tela Q-61</t>
  </si>
  <si>
    <t>164m² da área de piso externo conforme projeto</t>
  </si>
  <si>
    <t>164m² da área de piso externo *0,3m de altura</t>
  </si>
  <si>
    <t>164m² da área de piso externo *0,05m de espessura</t>
  </si>
  <si>
    <t>164m² da área de piso externo *0,97kg para o peso da tela Q-61</t>
  </si>
  <si>
    <t>164m² da área de piso externo *0,06m de espessura</t>
  </si>
  <si>
    <t>164m² da área de piso externo *40% da área</t>
  </si>
  <si>
    <t>117m de comprimento levantado em projeto</t>
  </si>
  <si>
    <t>8,35m+8,1m+3,45m+6,75m+10,35m de comprimento levantado em projeto</t>
  </si>
  <si>
    <t>SINALIZAÇÃO</t>
  </si>
  <si>
    <t>conforme indicação de projeto</t>
  </si>
  <si>
    <t>quantidades estimadas</t>
  </si>
  <si>
    <t>189m² da área de piso*0,1m de espessura</t>
  </si>
  <si>
    <t>189m² da área de piso</t>
  </si>
  <si>
    <t>ver planilha [368 - O - 2660 - 35 - 001_0.xlsx], aba Acabamentos e aba Fachadas</t>
  </si>
  <si>
    <t>ver planilha [368 - O - 2660 - 35 - 001_0.xlsx], aba Estacas Mureta</t>
  </si>
  <si>
    <t>ver planilha [368 - O - 2660 - 35 - 001_0.xlsx], aba Vb bloco  mureta</t>
  </si>
  <si>
    <t>ver planilha [368 - O - 2660 - 35 - 001_0.xlsx], aba Grout MURETA</t>
  </si>
  <si>
    <t>102,2 m de comprimento do gradil * 2,05m de altura</t>
  </si>
  <si>
    <t>102,2 m de comprimento do gradil * 2 rufos por metro</t>
  </si>
  <si>
    <t>102,2 m de comprimento da mureta * 0,40m de altura * 2 faces</t>
  </si>
  <si>
    <t>mesma área de reboco</t>
  </si>
  <si>
    <t>áreas de piso</t>
  </si>
  <si>
    <t>240m² da área levantada em CAD</t>
  </si>
  <si>
    <t>240m²*0,15m de espessura</t>
  </si>
  <si>
    <t>4 unidades</t>
  </si>
  <si>
    <t>ver planilha [368 - O - 2660 - 35 - 001_0.xlsx], aba Vb bloco  mureta + aba Estacas Mureta</t>
  </si>
  <si>
    <t>conforme projeto estrutural</t>
  </si>
  <si>
    <t xml:space="preserve"> 1.1.2 </t>
  </si>
  <si>
    <t xml:space="preserve"> 3.1.4 </t>
  </si>
  <si>
    <t xml:space="preserve"> 6.8 </t>
  </si>
  <si>
    <t xml:space="preserve"> 6.9 </t>
  </si>
  <si>
    <t xml:space="preserve"> 7.5 </t>
  </si>
  <si>
    <t xml:space="preserve"> 14.3 </t>
  </si>
  <si>
    <t xml:space="preserve"> 15.1.2 </t>
  </si>
  <si>
    <t xml:space="preserve"> 16.3.1 </t>
  </si>
  <si>
    <t xml:space="preserve"> 8.3.3.1 </t>
  </si>
  <si>
    <t xml:space="preserve"> 8.3.3.2 </t>
  </si>
  <si>
    <t xml:space="preserve"> 8.3.3.3 </t>
  </si>
  <si>
    <t xml:space="preserve"> 8.3.3.4 </t>
  </si>
  <si>
    <t xml:space="preserve"> 8.3.3.5 </t>
  </si>
  <si>
    <t xml:space="preserve"> 8.3.3.6 </t>
  </si>
  <si>
    <t xml:space="preserve"> 02.03.250 </t>
  </si>
  <si>
    <t xml:space="preserve"> 23.13.001 </t>
  </si>
  <si>
    <t>Porta lisa de madeira, interna "PIM", para acabamento em pintura, padrão dimensional médio/pesado, com ferragens, completo - 80 x 210 cm</t>
  </si>
  <si>
    <t xml:space="preserve"> 25.02.310 </t>
  </si>
  <si>
    <t>Porta de abrir em alumínio tipo lambri, sob medida - cor branca</t>
  </si>
  <si>
    <t xml:space="preserve"> 16.33.062 </t>
  </si>
  <si>
    <t>Calha, rufo, afins em chapa galvanizada nº 24 - corte 1,00 m</t>
  </si>
  <si>
    <t xml:space="preserve"> 48.02.401 </t>
  </si>
  <si>
    <t>Reservatório em polietileno com tampa de rosca - capacidade de 500 litros</t>
  </si>
  <si>
    <t>FABRICAÇÃO, MONTAGEM E DESMONTAGEM DE FÔRMA PARA VIGA BALDRAME, EM MADEIRA SERRADA, E=25 MM, 2 UTILIZAÇÕES. AF_01/2024</t>
  </si>
  <si>
    <t xml:space="preserve"> 97096 </t>
  </si>
  <si>
    <t xml:space="preserve"> 103673 </t>
  </si>
  <si>
    <t xml:space="preserve"> 44.06.400 </t>
  </si>
  <si>
    <t>Cuba em aço inoxidável simples de 500x400x300mm</t>
  </si>
  <si>
    <t xml:space="preserve"> 37.03.200 </t>
  </si>
  <si>
    <t>Quadro de distribuição universal de embutir, para disjuntores 16 DIN / 12 Bolt-on - 150 A - sem componentes</t>
  </si>
  <si>
    <t xml:space="preserve"> 40.05.040 </t>
  </si>
  <si>
    <t>Interruptor com 2 teclas simples e placa</t>
  </si>
  <si>
    <t xml:space="preserve"> 060386 </t>
  </si>
  <si>
    <t>LUMINARIA - PERFIL LED EMBUTIR SLIM 2M P/ FITA LED COMPLETA</t>
  </si>
  <si>
    <t xml:space="preserve"> 060211 </t>
  </si>
  <si>
    <t>LUMINARIA REFLETOR LED 9W MONOCROMATICO BRANCO - SODRAMAR</t>
  </si>
  <si>
    <t xml:space="preserve"> 33.12.011 </t>
  </si>
  <si>
    <t>Esmalte à base de água em madeira, inclusive preparo</t>
  </si>
  <si>
    <t xml:space="preserve"> 172371 </t>
  </si>
  <si>
    <t>LOMBADA QUEBRA MOLAS DE BORRACHA</t>
  </si>
  <si>
    <t>B.D.I.</t>
  </si>
  <si>
    <t>Encargos Sociais</t>
  </si>
  <si>
    <t>Desonerado: embutido nos preços unitário dos insumos de mão de obra, de acordo com as bases.</t>
  </si>
  <si>
    <t>Planilha Orçamentária Analítica</t>
  </si>
  <si>
    <t>Cronograma Físico e Financeiro</t>
  </si>
  <si>
    <t>Total Por Etapa</t>
  </si>
  <si>
    <t>60 DIAS</t>
  </si>
  <si>
    <t>120 DIAS</t>
  </si>
  <si>
    <t>180 DIAS</t>
  </si>
  <si>
    <t>Curva ABC de Insumos</t>
  </si>
  <si>
    <t xml:space="preserve">_______________________________________________________________
</t>
  </si>
  <si>
    <t>MIN</t>
  </si>
  <si>
    <t>MED</t>
  </si>
  <si>
    <t>MAX</t>
  </si>
  <si>
    <t>QUADRO DE COMPOSIÇÃO DO BDI</t>
  </si>
  <si>
    <t>Construção e Reforma de Edifícios</t>
  </si>
  <si>
    <t>AC</t>
  </si>
  <si>
    <t>SG</t>
  </si>
  <si>
    <t>R</t>
  </si>
  <si>
    <t>Nº TC/CR</t>
  </si>
  <si>
    <t>PROPONENTE / TOMADOR</t>
  </si>
  <si>
    <t>DF</t>
  </si>
  <si>
    <t>L</t>
  </si>
  <si>
    <t>BDI PAD</t>
  </si>
  <si>
    <t>OBJETO</t>
  </si>
  <si>
    <t>Construção de Praças Urbanas, Rodovias, Ferrovias e recapeamento e pavimentação de vias urbanas</t>
  </si>
  <si>
    <t>TIPO DE OBRA DO EMPREENDIMENTO</t>
  </si>
  <si>
    <t>DESONERAÇÃO</t>
  </si>
  <si>
    <t>Conforme legislação tributária municipal, definir estimativa de percentual da base de cálculo para o ISS:</t>
  </si>
  <si>
    <t>Construção de Redes de Abastecimento de Água, Coleta de Esgoto</t>
  </si>
  <si>
    <t>Sobre a base de cálculo, definir a respectiva alíquota do ISS (entre 2% e 5%):</t>
  </si>
  <si>
    <t>Itens</t>
  </si>
  <si>
    <t>Siglas</t>
  </si>
  <si>
    <t>% Adotado</t>
  </si>
  <si>
    <t>Situação</t>
  </si>
  <si>
    <t>1º Quartil</t>
  </si>
  <si>
    <t>Médio</t>
  </si>
  <si>
    <t>3º Quartil</t>
  </si>
  <si>
    <t>-</t>
  </si>
  <si>
    <t>Construção e Manutenção de Estações e Redes de Distribuição de Energia Elétrica</t>
  </si>
  <si>
    <t>Tributos (impostos COFINS 3%, e  PIS 0,65%)</t>
  </si>
  <si>
    <t>CP</t>
  </si>
  <si>
    <t>Tributos (ISS, variável de acordo com o município)</t>
  </si>
  <si>
    <t>ISS</t>
  </si>
  <si>
    <t>Tributos (Contribuição Previdenciária sobre a Receita Bruta - 0% ou 4,5% - Desoneração)</t>
  </si>
  <si>
    <t>CPRB</t>
  </si>
  <si>
    <t>BDI SEM desoneração
(Fórmula Acórdão TCU)</t>
  </si>
  <si>
    <t>Obras Portuárias, Marítimas e Fluviais</t>
  </si>
  <si>
    <t>BDI COM desoneração</t>
  </si>
  <si>
    <t>BDI DES</t>
  </si>
  <si>
    <t>pedir anexo</t>
  </si>
  <si>
    <t>Anexo: Relatório Técnico Circunstanciado justificando a adoção do percentual de cada parcela do BDI.</t>
  </si>
  <si>
    <t>anexo apresentado</t>
  </si>
  <si>
    <t>Os valores de BDI foram calculados com o emprego da fórmula:</t>
  </si>
  <si>
    <t xml:space="preserve"> - 1</t>
  </si>
  <si>
    <t>Fornecimento de Materiais e Equipamentos (aquisição indireta - em conjunto com licitação de obras)</t>
  </si>
  <si>
    <t>Observações:</t>
  </si>
  <si>
    <t>Local</t>
  </si>
  <si>
    <t>Data</t>
  </si>
  <si>
    <t>Estudos e Projetos, Planos e Gerenciamento e outros correlatos</t>
  </si>
  <si>
    <t>K1</t>
  </si>
  <si>
    <t>K2</t>
  </si>
  <si>
    <t/>
  </si>
  <si>
    <t>Responsável Técnico</t>
  </si>
  <si>
    <t>Responsável Tomador</t>
  </si>
  <si>
    <t>Nome:</t>
  </si>
  <si>
    <t>K3</t>
  </si>
  <si>
    <t>Título:</t>
  </si>
  <si>
    <t>Cargo:</t>
  </si>
  <si>
    <t>Fornecimento de Materiais e Equipamentos (aquisição direta)</t>
  </si>
  <si>
    <t>PREENCHER</t>
  </si>
  <si>
    <t>CLIENTE: UNIVERSIDADE FRANCO MONTORO</t>
  </si>
  <si>
    <t>(13,8m+7,45m+13,8m+7,45m de comprimento)*0,7m de altura</t>
  </si>
  <si>
    <t>peso da estrutura , descontado o peso dos chumbadores</t>
  </si>
  <si>
    <t xml:space="preserve"> 14.4 </t>
  </si>
  <si>
    <t xml:space="preserve"> 33.07.140 </t>
  </si>
  <si>
    <t>Pintura com esmalte alquídico em estrutura metálica</t>
  </si>
  <si>
    <t xml:space="preserve"> 7.6 </t>
  </si>
  <si>
    <t xml:space="preserve"> 22.03.070 </t>
  </si>
  <si>
    <t>Forro em lâmina de PVC</t>
  </si>
  <si>
    <t>largura x altura x comprimento</t>
  </si>
  <si>
    <t>Tipo</t>
  </si>
  <si>
    <t>Composição</t>
  </si>
  <si>
    <t>Insumo</t>
  </si>
  <si>
    <t xml:space="preserve"> B.01.000.010112 </t>
  </si>
  <si>
    <t>Ajudante de carpinteiro</t>
  </si>
  <si>
    <t>Mão de Obra</t>
  </si>
  <si>
    <t>H</t>
  </si>
  <si>
    <t xml:space="preserve"> B.01.000.010140 </t>
  </si>
  <si>
    <t>Pintor</t>
  </si>
  <si>
    <t xml:space="preserve"> B.01.000.010141 </t>
  </si>
  <si>
    <t>Ajudante de pintor</t>
  </si>
  <si>
    <t xml:space="preserve"> B.01.000.010111 </t>
  </si>
  <si>
    <t>Carpinteiro</t>
  </si>
  <si>
    <t xml:space="preserve"> D.02.000.021009 </t>
  </si>
  <si>
    <t>Pontalete de cedrinho de 75 mm x 75 mm - 3ª construção</t>
  </si>
  <si>
    <t>Material</t>
  </si>
  <si>
    <t xml:space="preserve"> E.02.000.026760 </t>
  </si>
  <si>
    <t>Prego diversas bitolas (referência 18 x 27)</t>
  </si>
  <si>
    <t xml:space="preserve"> J.02.000.037513 </t>
  </si>
  <si>
    <t>Tinta látex, acabamento fosco aveludado, ref. coral 3 em 1 da Coral, rende e cobre muito da Suvinil ou equivalente</t>
  </si>
  <si>
    <t xml:space="preserve"> N.04.000.039114 </t>
  </si>
  <si>
    <t>Banner em lona com impressão digitalmente, com bainha reforçada e ilhoses</t>
  </si>
  <si>
    <t>MO sem LS =&gt;</t>
  </si>
  <si>
    <t>LS =&gt;</t>
  </si>
  <si>
    <t>MO com LS =&gt;</t>
  </si>
  <si>
    <t>Valor do BDI =&gt;</t>
  </si>
  <si>
    <t>Valor com BDI =&gt;</t>
  </si>
  <si>
    <t>Quant. =&gt;</t>
  </si>
  <si>
    <t>Preço Total =&gt;</t>
  </si>
  <si>
    <t xml:space="preserve"> B.01.000.010101 </t>
  </si>
  <si>
    <t>Ajudante geral</t>
  </si>
  <si>
    <t xml:space="preserve"> A.12.000.021081 </t>
  </si>
  <si>
    <t>Container guarita, módulo metálico aço galvanizado 2,00x2,30m ou 2,30x2,30m, vão livre, forro térmico, piso concreto, cimentado, madeira ou material equivalente</t>
  </si>
  <si>
    <t xml:space="preserve"> B.01.000.010116 </t>
  </si>
  <si>
    <t>Ajudante eletricista</t>
  </si>
  <si>
    <t xml:space="preserve"> B.01.000.010115 </t>
  </si>
  <si>
    <t>Eletricista</t>
  </si>
  <si>
    <t xml:space="preserve"> B.01.000.010146 </t>
  </si>
  <si>
    <t>Servente</t>
  </si>
  <si>
    <t xml:space="preserve"> D.02.000.021021 </t>
  </si>
  <si>
    <t>Tábua cedrinho 25 mm x 300 mm de 3ª</t>
  </si>
  <si>
    <t xml:space="preserve"> E.02.000.027025 </t>
  </si>
  <si>
    <t>Arame galvanizado nº 16 BWG</t>
  </si>
  <si>
    <t xml:space="preserve"> B.01.000.020112 </t>
  </si>
  <si>
    <t>Coordenador de projetos</t>
  </si>
  <si>
    <t xml:space="preserve"> B.01.000.020119 </t>
  </si>
  <si>
    <t>Engenheiro senior de elétrica</t>
  </si>
  <si>
    <t xml:space="preserve"> B.01.000.020116 </t>
  </si>
  <si>
    <t>Engenheiro junior de elétrica</t>
  </si>
  <si>
    <t xml:space="preserve"> B.01.000.020121 </t>
  </si>
  <si>
    <t>Projetista pleno - nível técnico</t>
  </si>
  <si>
    <t xml:space="preserve"> B.01.000.020122 </t>
  </si>
  <si>
    <t>Desenhista pleno/cadista</t>
  </si>
  <si>
    <t xml:space="preserve"> B.01.000.010139 </t>
  </si>
  <si>
    <t>Pedreiro</t>
  </si>
  <si>
    <t xml:space="preserve"> S.01.000.080157 </t>
  </si>
  <si>
    <t>Rompedor Pneumático ATLAS COPCO TEX 32 PS</t>
  </si>
  <si>
    <t xml:space="preserve"> S.01.000.080129 </t>
  </si>
  <si>
    <t>Compressor de ar XA 125 MWD - COND. D</t>
  </si>
  <si>
    <t xml:space="preserve"> B.01.000.010143 </t>
  </si>
  <si>
    <t>Operador</t>
  </si>
  <si>
    <t xml:space="preserve"> S.03.000.085678 </t>
  </si>
  <si>
    <t>Retroescavadeira sobre rodas com carregadeira, tração 4x4, potência liquida 88 HP, peso operacional mínimo 6674 kg capacidade da carregadeira de 1 m³ e da retroescavadeira mínima de 0,26 m³, profundidade de escavação máxima de 4,37 m</t>
  </si>
  <si>
    <t xml:space="preserve"> S.04.000.081346 </t>
  </si>
  <si>
    <t>Motosserra a gasolina portátil tipo 60 cilindradas; ref. mod.61 da Husqvarna ou equivalente</t>
  </si>
  <si>
    <t xml:space="preserve"> S.04.000.081351 </t>
  </si>
  <si>
    <t>Caminhão guindaste sobre pneus com capacidade de carga de 25 Toneladas</t>
  </si>
  <si>
    <t xml:space="preserve"> A.05.000.020359 </t>
  </si>
  <si>
    <t>Remoção de entulho de obra, material volumoso (mistura de alvenaria, terra, madeira, papel, plástico e metal), capacidade 4 m³</t>
  </si>
  <si>
    <t xml:space="preserve"> S.01.000.080311 </t>
  </si>
  <si>
    <t>Caminhão basculante diesel com capacidade de 5 m³ - COND. D</t>
  </si>
  <si>
    <t xml:space="preserve"> S.01.000.080342 </t>
  </si>
  <si>
    <t>Trator de esteira lâmina reta/riper - 328HP, CATEPILLAR-D8R PS328 ou equivalente</t>
  </si>
  <si>
    <t xml:space="preserve"> S.07.000.080230 </t>
  </si>
  <si>
    <t>Pá-carregadeira sobre pneus, potência 120 a 122HP (88,5 a 119 kW) capacidade da caçamba de 1,7 a 5,0m³, ref. CAT924G da CATERPILLAR</t>
  </si>
  <si>
    <t xml:space="preserve"> S.01.000.080344 </t>
  </si>
  <si>
    <t>Trator sobre esteiras potência 76 a 88HP (56 a 64,9kW), ref. D4 da Komatsu</t>
  </si>
  <si>
    <t xml:space="preserve"> S.01.000.080330 </t>
  </si>
  <si>
    <t>Rolo compactador vibratório com pé de carneiro em aço, potência 121 a 127HP (90 a 93 kW), ref. CA25PD DYNAPAC</t>
  </si>
  <si>
    <t xml:space="preserve"> S.01.000.080102 </t>
  </si>
  <si>
    <t>Caminhão com irrigadeira e autobomba, capacidade mínima de 6.000 litros - COND.D</t>
  </si>
  <si>
    <t xml:space="preserve"> S.01.000.080332 </t>
  </si>
  <si>
    <t>Motoniveladora com escarificador potência 140HP (104kW), ref. CAT 120H da CATERPILLAR</t>
  </si>
  <si>
    <t xml:space="preserve"> S.01.000.080337 </t>
  </si>
  <si>
    <t>Rolo compactador autopropelido, vibratório em aço, cilindros lisos em tandem, potência 80 HP (59 kW); ref. CC21 Dynapac 6 toneladas</t>
  </si>
  <si>
    <t xml:space="preserve"> A.08.000.020144 </t>
  </si>
  <si>
    <t xml:space="preserve"> B.01.000.010122 </t>
  </si>
  <si>
    <t>Ajudante de ferreiro</t>
  </si>
  <si>
    <t xml:space="preserve"> B.01.000.010121 </t>
  </si>
  <si>
    <t>Ferreiro/armador</t>
  </si>
  <si>
    <t xml:space="preserve"> C.04.000.020536 </t>
  </si>
  <si>
    <t>Concreto usinado fck= 25 MPa, slump 5 ± 1cm, slump 1 e 2</t>
  </si>
  <si>
    <t xml:space="preserve"> B.06.000.021525 </t>
  </si>
  <si>
    <t>Aço CA-50-A $MD bitolas</t>
  </si>
  <si>
    <t xml:space="preserve"> B.06.000.021538 </t>
  </si>
  <si>
    <t>Aço CA-60-B $MD bitolas</t>
  </si>
  <si>
    <t xml:space="preserve"> E.02.000.027010 </t>
  </si>
  <si>
    <t>Arame recozido nº 18 BWG</t>
  </si>
  <si>
    <t xml:space="preserve"> C.01.000.090640 </t>
  </si>
  <si>
    <t>Taxa de mobilização e desmobilização de equipamentos para execução de perfuração em concreto, com broca diamantada ou vídea</t>
  </si>
  <si>
    <t>MOVT - MOVIMENTO DE TERRA</t>
  </si>
  <si>
    <t>Composição Auxiliar</t>
  </si>
  <si>
    <t xml:space="preserve"> 91534 </t>
  </si>
  <si>
    <t>COMPACTADOR DE SOLOS DE PERCUSSÃO (SOQUETE) COM MOTOR A GASOLINA 4 TEMPOS, POTÊNCIA 4 CV - CHI DIURNO. AF_08/2015</t>
  </si>
  <si>
    <t>Custos Horários Produtivo e Improdutivo dos Equipamentos</t>
  </si>
  <si>
    <t>CHI</t>
  </si>
  <si>
    <t xml:space="preserve"> 91533 </t>
  </si>
  <si>
    <t>COMPACTADOR DE SOLOS DE PERCUSSÃO (SOQUETE) COM MOTOR A GASOLINA 4 TEMPOS, POTÊNCIA 4 CV - CHP DIURNO. AF_08/2015</t>
  </si>
  <si>
    <t>CHP</t>
  </si>
  <si>
    <t xml:space="preserve"> 88309 </t>
  </si>
  <si>
    <t>PEDREIRO COM ENCARGOS COMPLEMENTARES</t>
  </si>
  <si>
    <t>Livro SINAPI: Cálculos e Parâmetros</t>
  </si>
  <si>
    <t xml:space="preserve"> 88316 </t>
  </si>
  <si>
    <t>SERVENTE COM ENCARGOS COMPLEMENTARES</t>
  </si>
  <si>
    <t xml:space="preserve"> D.02.000.021017 </t>
  </si>
  <si>
    <t>Sarrafo de cedrinho 2,5 x 10 cm</t>
  </si>
  <si>
    <t xml:space="preserve"> F.12.000.028008 </t>
  </si>
  <si>
    <t>Desmoldante para formas</t>
  </si>
  <si>
    <t xml:space="preserve"> B.05.000.020518 </t>
  </si>
  <si>
    <t>Pedra britada nº médios 1.2.3 e 4 (a granel)</t>
  </si>
  <si>
    <t xml:space="preserve"> C.04.000.020554 </t>
  </si>
  <si>
    <t>Concreto usinado bombeado fck= 25 MPa, slump 8 ± 1cm, brita 1 e 2</t>
  </si>
  <si>
    <t xml:space="preserve"> F.03.000.024109 </t>
  </si>
  <si>
    <t>Manta asfáltica com armadura filme de poliéster, tipo III-B, espessura de 3 mm, ref. Denvermanta III-B Denver Global, Torodin III-B Viapol, Premium Poliéster III-B Viapol ou equivalente</t>
  </si>
  <si>
    <t xml:space="preserve"> F.03.000.039005 </t>
  </si>
  <si>
    <t>Pintura impermeabilizante com asfalto oxidado e solventes orgânicos, ref. Viabit/Viapol, Neutrol/Otto Baumgart/IGOL55 Sika, ou equivalente</t>
  </si>
  <si>
    <t xml:space="preserve"> A.05.000.020358 </t>
  </si>
  <si>
    <t>Remoção de entulho de obra, terra, alvenaria, concreto, argamassa, madeira, papel, plástico, metal, capacidade de 4m³</t>
  </si>
  <si>
    <t xml:space="preserve"> C.06.000.022047 </t>
  </si>
  <si>
    <t>Laje pré-fabricada mista vigota treliçada/lajota cerâmica - LT 12 (8+4); sobrecarga 200kgf/m²</t>
  </si>
  <si>
    <t xml:space="preserve"> B.03.000.020505 </t>
  </si>
  <si>
    <t>Cal hidratada (saco de 20 kg)</t>
  </si>
  <si>
    <t xml:space="preserve"> B.04.000.020503 </t>
  </si>
  <si>
    <t>Areia média lavada (a granel caçamba fechada)</t>
  </si>
  <si>
    <t xml:space="preserve"> B.02.000.020508 </t>
  </si>
  <si>
    <t>Cimento CPII-E-32 (sacos de 50 kg)</t>
  </si>
  <si>
    <t xml:space="preserve"> G.01.000.022544 </t>
  </si>
  <si>
    <t>Bloco cerâmico estrutural 14 x 19 x 39 cm, uso revestido</t>
  </si>
  <si>
    <t xml:space="preserve"> B.05.000.020522 </t>
  </si>
  <si>
    <t>Pedrisco</t>
  </si>
  <si>
    <t xml:space="preserve"> S.01.000.080125 </t>
  </si>
  <si>
    <t>Betoneira reversível com carregador, capacidade de 320 litros, acionamento do motor combustão interna (diesel e gasolina) ou motor elétrico Alfa 320</t>
  </si>
  <si>
    <t xml:space="preserve"> H.05.000.031156 </t>
  </si>
  <si>
    <t>Caixilho em alumínio anodizado fosco L 25 maxim-ar, sob medida</t>
  </si>
  <si>
    <t xml:space="preserve"> H.05.000.030403 </t>
  </si>
  <si>
    <t>Caixilho fixo em alumínio com pintura eletrostática branca, sob medida, instalado - sem vidros</t>
  </si>
  <si>
    <t xml:space="preserve"> S.05.000.039039 </t>
  </si>
  <si>
    <t>Argamassa mista com areia grossa 1:2:8</t>
  </si>
  <si>
    <t xml:space="preserve"> H.05.000.031002 </t>
  </si>
  <si>
    <t>Caixilho em alumínio anodizado fosco L 25 de correr, sob medida</t>
  </si>
  <si>
    <t xml:space="preserve"> B.01.000.010186 </t>
  </si>
  <si>
    <t>Vidraceiro</t>
  </si>
  <si>
    <t xml:space="preserve"> H.07.000.037090 </t>
  </si>
  <si>
    <t>Vidro temperado incolor 8 mm - material</t>
  </si>
  <si>
    <t xml:space="preserve"> S.03.000.028010 </t>
  </si>
  <si>
    <t>Silicone para envidraçamento estrutural, 280g</t>
  </si>
  <si>
    <t xml:space="preserve"> S.03.000.028011 </t>
  </si>
  <si>
    <t>Perfil de borracha EPDM maciço de 12x15mm, para esquadrias</t>
  </si>
  <si>
    <t xml:space="preserve"> S.04.000.034030 </t>
  </si>
  <si>
    <t>Fita crepe 25mm x 50m</t>
  </si>
  <si>
    <t xml:space="preserve"> H.07.000.037098 </t>
  </si>
  <si>
    <t>Vidro laminado temperado incolor de 8mm - material</t>
  </si>
  <si>
    <t xml:space="preserve"> M.04.000.092845 </t>
  </si>
  <si>
    <t>Película de controle solar refletiva para vidros, na cor prata, referência Window Film Silver 35 da 3M ou equivalente - instalado</t>
  </si>
  <si>
    <t>ASTU - ASSENTAMENTO DE TUBOS E PECAS</t>
  </si>
  <si>
    <t xml:space="preserve"> 88315 </t>
  </si>
  <si>
    <t>SERRALHEIRO COM ENCARGOS COMPLEMENTARES</t>
  </si>
  <si>
    <t xml:space="preserve"> 24.20.020 </t>
  </si>
  <si>
    <t>Recolocação de esquadrias metálicas</t>
  </si>
  <si>
    <t xml:space="preserve"> D.04.000.030021 </t>
  </si>
  <si>
    <t>Porta lisa de madeira, interna "PIM", para acabamento em pintura, 01 folha, desempenho superior para uso público, tráfego intenso de 100.000 ciclos, padrão dimensional médio/pesado, com ferragens, completo - 80 x 210 cm</t>
  </si>
  <si>
    <t xml:space="preserve"> H.05.000.027645 </t>
  </si>
  <si>
    <t>Porta de abrir em alumínio tipo lambri branco, sob medida - sem vidro; ref. comercial project MGM ou equivalente</t>
  </si>
  <si>
    <t xml:space="preserve"> E.04.000.037532 </t>
  </si>
  <si>
    <t>Fornecimento e montagem de estrutura metálica em aço ASTM-A 36, sem pintura</t>
  </si>
  <si>
    <t xml:space="preserve"> E.03.000.026504 </t>
  </si>
  <si>
    <t>Gancho de 1/4´ com porca e arruela, 550 mm</t>
  </si>
  <si>
    <t xml:space="preserve"> F.04.000.026506 </t>
  </si>
  <si>
    <t>Calço plástico para telha trapezoidal, 38 mm</t>
  </si>
  <si>
    <t xml:space="preserve"> F.14.000.025516 </t>
  </si>
  <si>
    <t>Telha em chapa de aço zincado, pré-pintado, perfil trapezoidal, espessura de 0,50mm, ref.: LR-40 da Perfilor, LR 40 da Eucatex, MBP 40 da MBP ou equivalente</t>
  </si>
  <si>
    <t xml:space="preserve"> B.01.000.010119 </t>
  </si>
  <si>
    <t>Ajudante de encanador</t>
  </si>
  <si>
    <t xml:space="preserve"> B.01.000.010118 </t>
  </si>
  <si>
    <t>Encanador</t>
  </si>
  <si>
    <t xml:space="preserve"> E.03.000.026771 </t>
  </si>
  <si>
    <t>Rebites de ferro zincado n° 8, comprimento de 6,10 mm, diâmetro nominal de 3 mm</t>
  </si>
  <si>
    <t xml:space="preserve"> F.14.000.068026 </t>
  </si>
  <si>
    <t>Calha em chapa galvanizada 24 desenvolvimento 0,50 m</t>
  </si>
  <si>
    <t xml:space="preserve"> S.04.000.069508 </t>
  </si>
  <si>
    <t>Solda liga chumbo e estanho de 70x30</t>
  </si>
  <si>
    <t xml:space="preserve"> F.14.000.068027 </t>
  </si>
  <si>
    <t>Calha em chapa galvanizada 24 desenvolvimento 1,00 m</t>
  </si>
  <si>
    <t xml:space="preserve"> B.01.000.010144 </t>
  </si>
  <si>
    <t>Serralheiro</t>
  </si>
  <si>
    <t xml:space="preserve"> B.01.000.010145 </t>
  </si>
  <si>
    <t>Ajudante serralheiro</t>
  </si>
  <si>
    <t xml:space="preserve"> E.03.000.026653 </t>
  </si>
  <si>
    <t>Parafuso auto-atarraxante/auto-brocante em aço médio carbono, com acabamento zincado brando, de 12 x 38 mm - com arruela de vedação</t>
  </si>
  <si>
    <t xml:space="preserve"> E.08.000.026210 </t>
  </si>
  <si>
    <t>Placa de alumínio composto "ACM", espessura de 4 mm, acabamento em PVDF, uso externo/interno</t>
  </si>
  <si>
    <t xml:space="preserve"> F.08.000.024103 </t>
  </si>
  <si>
    <t>Mastique silicone Silix 567; referência comercial Rhodia / Dow Corning 791 ou equivalente</t>
  </si>
  <si>
    <t>bg</t>
  </si>
  <si>
    <t xml:space="preserve"> F.08.000.062020 </t>
  </si>
  <si>
    <t>Tarugo de polietileno D=10mm delimitador da junta de dilatação</t>
  </si>
  <si>
    <t xml:space="preserve"> S.03.000.026616 </t>
  </si>
  <si>
    <t>Cantoneira em alumínio</t>
  </si>
  <si>
    <t xml:space="preserve"> M.04.000.034027 </t>
  </si>
  <si>
    <t>Forro em lâmina PVC, frisada, largura 100/200mm (média); com estrutura de sustentação colocado; ref. Tigre, Multiplast, Petrol, Medabil, Anflo ou equivalente - instalado</t>
  </si>
  <si>
    <t xml:space="preserve"> B.09.000.069513 </t>
  </si>
  <si>
    <t>Adesivo para tubos PVC</t>
  </si>
  <si>
    <t xml:space="preserve"> J.01.000.038040 </t>
  </si>
  <si>
    <t>Lixa d´água, ref. Norton n° 80, Aquaflex ou equivalente</t>
  </si>
  <si>
    <t xml:space="preserve"> O.02.000.069514 </t>
  </si>
  <si>
    <t>Solução limpadora para PVC</t>
  </si>
  <si>
    <t xml:space="preserve"> O.02.000.062504 </t>
  </si>
  <si>
    <t>Tubo de PVC rígido soldável marrom, DN= 40mm (1 1/4´)</t>
  </si>
  <si>
    <t xml:space="preserve"> O.02.000.062531 </t>
  </si>
  <si>
    <t>Tubo de PVC rígido branco PxB com virola, linha esgoto série normal, DN= 50mm</t>
  </si>
  <si>
    <t xml:space="preserve"> O.12.000.062671 </t>
  </si>
  <si>
    <t>Anel borracha para tubo PVC 50mm (2´)</t>
  </si>
  <si>
    <t xml:space="preserve"> O.12.000.069527 </t>
  </si>
  <si>
    <t>Lubrificante para anel de neoprene</t>
  </si>
  <si>
    <t xml:space="preserve"> O.02.000.062533 </t>
  </si>
  <si>
    <t>Tubo de PVC rígido branco PxB com virola, linha esgoto série normal, DN= 100mm</t>
  </si>
  <si>
    <t xml:space="preserve"> O.12.000.062673 </t>
  </si>
  <si>
    <t>Anel borracha para tubo PVC 100mm (4´)</t>
  </si>
  <si>
    <t xml:space="preserve"> P.19.000.042476 </t>
  </si>
  <si>
    <t>Caixa de inspeção do terra cilíndrica em PVC rígido, diâmetro de 300 mm, h= 400 mm</t>
  </si>
  <si>
    <t xml:space="preserve"> O.01.000.067503 </t>
  </si>
  <si>
    <t>Caixa de gordura em PVC, com tampa, cesto de limpeza, 2 entradas de 75mm, 1 entrada de 50mm, 1 saída de 100mm, completo; ref. Tigre ou equivalente - capacidade de 19 litros</t>
  </si>
  <si>
    <t xml:space="preserve"> B.07.000.069552 </t>
  </si>
  <si>
    <t>Mangueira plástica flexível 3/4´</t>
  </si>
  <si>
    <t xml:space="preserve"> O.09.000.064023 </t>
  </si>
  <si>
    <t>Válvula de retenção horizontal em bronze 4´</t>
  </si>
  <si>
    <t xml:space="preserve"> O.02.000.067512 </t>
  </si>
  <si>
    <t>Caixa sifonada em PVC rígido de 100 x 150 x 50 mm</t>
  </si>
  <si>
    <t xml:space="preserve"> O.05.000.067549 </t>
  </si>
  <si>
    <t>Grelha metálica de 100 x 100 mm, para caixa sifonada ou ralo, ref. Metal Vila ou equivalente</t>
  </si>
  <si>
    <t xml:space="preserve"> O.02.000.067501 </t>
  </si>
  <si>
    <t>Caixa sifonada em PVC rígido de 150 x 150 x 50 mm</t>
  </si>
  <si>
    <t xml:space="preserve"> O.05.000.067548 </t>
  </si>
  <si>
    <t>Grelha metálica de 150 x 150 mm, para caixa sifonada ou ralo, ref. Metal Vila ou equivalente</t>
  </si>
  <si>
    <t>INSTALACOES HIDRAULICAS - ESGOTO</t>
  </si>
  <si>
    <t xml:space="preserve"> 036736 </t>
  </si>
  <si>
    <t>FOSSA SEPTICA BIODIGESTOR DE POLIETILENO DE ALTA DENSIDADE 1.300L FUNDO CONICO ACQUALIMP</t>
  </si>
  <si>
    <t xml:space="preserve"> 099050 </t>
  </si>
  <si>
    <t>PEDREIRO</t>
  </si>
  <si>
    <t xml:space="preserve"> 099900 </t>
  </si>
  <si>
    <t>SERVENTE</t>
  </si>
  <si>
    <t xml:space="preserve"> O.07.000.063562 </t>
  </si>
  <si>
    <t>Registro de gaveta amarelo 1´</t>
  </si>
  <si>
    <t xml:space="preserve"> O.02.000.062502 </t>
  </si>
  <si>
    <t>Tubo de PVC rígido soldável marrom, DN= 25mm (3/4´)</t>
  </si>
  <si>
    <t xml:space="preserve"> O.02.000.062505 </t>
  </si>
  <si>
    <t>Tubo de PVC rígido soldável marrom, DN= 50mm (1 1/2´)</t>
  </si>
  <si>
    <t xml:space="preserve"> O.18.000.065002 </t>
  </si>
  <si>
    <t>Reservatório em polietileno, com tampa de rosca, capacidade de 500 litros; ref. Acqualimp, Fortlev, Tigre ou equivalente</t>
  </si>
  <si>
    <t xml:space="preserve"> O.07.000.090513 </t>
  </si>
  <si>
    <t>Válvula de esfera monobloco em latão fundido, passagem plena, acionamento com alavanca, DN= 1.1/4´</t>
  </si>
  <si>
    <t xml:space="preserve"> O.02.000.062503 </t>
  </si>
  <si>
    <t>Tubo de PVC rígido soldável marrom, DN= 32mm (1´)</t>
  </si>
  <si>
    <t xml:space="preserve"> O.07.000.063533 </t>
  </si>
  <si>
    <t>Registro de pressão cromado com canopla 3/4´</t>
  </si>
  <si>
    <t xml:space="preserve"> O.11.000.064011 </t>
  </si>
  <si>
    <t>Válvula de descarga com registro de 1 1/2´, ref. Hidramax 2550 da Deca / Docol / Flux 3650 Fabrimar ou equivalente</t>
  </si>
  <si>
    <t xml:space="preserve"> O.02.000.062561 </t>
  </si>
  <si>
    <t>Tubo de PVC rígido PxB com virola, linha esgoto série reforçada ´R´, DN= 100mm</t>
  </si>
  <si>
    <t>Caixas Enterradas</t>
  </si>
  <si>
    <t xml:space="preserve"> 101618 </t>
  </si>
  <si>
    <t>PREPARO DE FUNDO DE VALA COM LARGURA MENOR QUE 1,5 M, COM CAMADA DE AREIA, LANÇAMENTO MANUAL. AF_08/2020</t>
  </si>
  <si>
    <t>Escoramento e Preparo de Fundo de Valas</t>
  </si>
  <si>
    <t xml:space="preserve"> 00041627 </t>
  </si>
  <si>
    <t>CAIXA DE CONCRETO ARMADO PRE-MOLDADO, COM FUNDO E TAMPA, DIMENSOES DE 0,30 X 0,30 X 0,30 M</t>
  </si>
  <si>
    <t xml:space="preserve"> 00004723 </t>
  </si>
  <si>
    <t>PEDRA BRITADA N. 4 (POSTO PEDREIRA/FORNECEDOR, SEM FRETE)</t>
  </si>
  <si>
    <t>M³</t>
  </si>
  <si>
    <t>Fundações Rasas (Blocos, Sapatas, Vigas Baldrame)</t>
  </si>
  <si>
    <t xml:space="preserve"> 88239 </t>
  </si>
  <si>
    <t>AJUDANTE DE CARPINTEIRO COM ENCARGOS COMPLEMENTARES</t>
  </si>
  <si>
    <t xml:space="preserve"> 88262 </t>
  </si>
  <si>
    <t>CARPINTEIRO DE FORMAS COM ENCARGOS COMPLEMENTARES</t>
  </si>
  <si>
    <t xml:space="preserve"> 91692 </t>
  </si>
  <si>
    <t>SERRA CIRCULAR DE BANCADA COM MOTOR ELÉTRICO POTÊNCIA DE 5HP, COM COIFA PARA DISCO 10" - CHP DIURNO. AF_08/2015</t>
  </si>
  <si>
    <t xml:space="preserve"> 91693 </t>
  </si>
  <si>
    <t>SERRA CIRCULAR DE BANCADA COM MOTOR ELÉTRICO POTÊNCIA DE 5HP, COM COIFA PARA DISCO 10" - CHI DIURNO. AF_08/2015</t>
  </si>
  <si>
    <t xml:space="preserve"> 00002692 </t>
  </si>
  <si>
    <t>DESMOLDANTE PROTETOR PARA FORMAS DE MADEIRA, DE BASE OLEOSA EMULSIONADA EM AGUA</t>
  </si>
  <si>
    <t xml:space="preserve"> 00004491 </t>
  </si>
  <si>
    <t>PONTALETE *7,5 X 7,5* CM EM PINUS, MISTA OU EQUIVALENTE DA REGIAO - BRUTA</t>
  </si>
  <si>
    <t xml:space="preserve"> 00004517 </t>
  </si>
  <si>
    <t>SARRAFO *2,5 X 7,5* CM EM PINUS, MISTA OU EQUIVALENTE DA REGIAO - BRUTA</t>
  </si>
  <si>
    <t xml:space="preserve"> 00005073 </t>
  </si>
  <si>
    <t>PREGO DE ACO POLIDO COM CABECA 17 X 24 (2 1/4 X 11)</t>
  </si>
  <si>
    <t xml:space="preserve"> 00006212 </t>
  </si>
  <si>
    <t>TABUA *2,5 X 30 CM EM PINUS, MISTA OU EQUIVALENTE DA REGIAO - BRUTA</t>
  </si>
  <si>
    <t xml:space="preserve"> 00040304 </t>
  </si>
  <si>
    <t>PREGO DE ACO POLIDO COM CABECA DUPLA 17 X 27 (2 1/2 X 11)</t>
  </si>
  <si>
    <t>Radier, Piso de Concreto e Laje sobre Solo</t>
  </si>
  <si>
    <t xml:space="preserve"> 90586 </t>
  </si>
  <si>
    <t>VIBRADOR DE IMERSÃO, DIÂMETRO DE PONTEIRA 45MM, MOTOR ELÉTRICO TRIFÁSICO POTÊNCIA DE 2 CV - CHP DIURNO. AF_06/2015</t>
  </si>
  <si>
    <t xml:space="preserve"> 90587 </t>
  </si>
  <si>
    <t>VIBRADOR DE IMERSÃO, DIÂMETRO DE PONTEIRA 45MM, MOTOR ELÉTRICO TRIFÁSICO POTÊNCIA DE 2 CV - CHI DIURNO. AF_06/2015</t>
  </si>
  <si>
    <t xml:space="preserve"> 00001525 </t>
  </si>
  <si>
    <t>CONCRETO USINADO BOMBEAVEL, CLASSE DE RESISTENCIA C30, BRITA 0 E 1, SLUMP = 100 +/- 20 MM, COM BOMBEAMENTO (DISPONIBILIZACAO DE BOMBA), SEM O LANCAMENTO (NBR 8953)</t>
  </si>
  <si>
    <t>Concretagem para Estruturas de Concreto Armado</t>
  </si>
  <si>
    <t xml:space="preserve"> G.01.000.022515 </t>
  </si>
  <si>
    <t>Tijolo comum maciço</t>
  </si>
  <si>
    <t xml:space="preserve"> B.02.000.037043 </t>
  </si>
  <si>
    <t>Massa para vidro comum branca e/ou cinza</t>
  </si>
  <si>
    <t xml:space="preserve"> E.03.000.026733 </t>
  </si>
  <si>
    <t>Parafusos niquelados para sanitários</t>
  </si>
  <si>
    <t xml:space="preserve"> O.12.000.066053 </t>
  </si>
  <si>
    <t>Tubo de ligação com canopla para sanitários</t>
  </si>
  <si>
    <t xml:space="preserve"> O.12.000.069555 </t>
  </si>
  <si>
    <t>Anel borracha expansão para ligação em bacia sifonada, 100 mm (4´)</t>
  </si>
  <si>
    <t xml:space="preserve"> O.12.000.069503 </t>
  </si>
  <si>
    <t>Bolsa de borracha para bacia sifonada</t>
  </si>
  <si>
    <t xml:space="preserve"> O.10.000.065555 </t>
  </si>
  <si>
    <t>Bacia louça branca 6 litros, com caixa descarga acoplada, linha Ravena da Deca, linha Diamantina, Azálea da Celite, ou equivalente</t>
  </si>
  <si>
    <t xml:space="preserve"> E.03.000.069568 </t>
  </si>
  <si>
    <t>Parafuso e bucha de 8´ para fixação de louça sanitária</t>
  </si>
  <si>
    <t>PAR</t>
  </si>
  <si>
    <t xml:space="preserve"> O.10.000.065534 </t>
  </si>
  <si>
    <t>Lavatório pequeno e coluna suspensa; ref. Vogue Plus ou equivalente</t>
  </si>
  <si>
    <t xml:space="preserve"> O.11.000.066004 </t>
  </si>
  <si>
    <t>Torneira mesa para lavatório acionamento hidromecânico, com registro integrado regulador, latão cromado, DN 1/2´; ref. Decamatic 1170C ou equivalente</t>
  </si>
  <si>
    <t>ESQV - ESQUADRIAS/FERRAGENS/VIDROS</t>
  </si>
  <si>
    <t xml:space="preserve"> 88325 </t>
  </si>
  <si>
    <t>VIDRACEIRO COM ENCARGOS COMPLEMENTARES</t>
  </si>
  <si>
    <t xml:space="preserve"> 00007334 </t>
  </si>
  <si>
    <t>ADITIVO ADESIVO LIQUIDO PARA ARGAMASSAS DE REVESTIMENTOS CIMENTICIOS</t>
  </si>
  <si>
    <t xml:space="preserve"> 00000587 </t>
  </si>
  <si>
    <t>CANTONEIRA ALUMINIO ABAS DESIGUAIS 1" X 3/4 ", E = 1/8 "</t>
  </si>
  <si>
    <t xml:space="preserve"> 00001360 </t>
  </si>
  <si>
    <t>CHAPA DE MADEIRA COMPENSADA NAVAL (COM COLA FENOLICA), E = 6 MM, DE *1,60 X 2,20* M</t>
  </si>
  <si>
    <t xml:space="preserve"> 00011186 </t>
  </si>
  <si>
    <t>ESPELHO CRISTAL E = 4 MM</t>
  </si>
  <si>
    <t>Louças e Metais</t>
  </si>
  <si>
    <t xml:space="preserve"> 88267 </t>
  </si>
  <si>
    <t>ENCANADOR OU BOMBEIRO HIDRÁULICO COM ENCARGOS COMPLEMENTARES</t>
  </si>
  <si>
    <t xml:space="preserve"> 00011758 </t>
  </si>
  <si>
    <t>SABONETEIRA PLASTICA TIPO DISPENSER PARA SABONETE LIQUIDO COM RESERVATORIO 800 A 1500 ML</t>
  </si>
  <si>
    <t>Edificações</t>
  </si>
  <si>
    <t xml:space="preserve"> 76898 </t>
  </si>
  <si>
    <t>DISPENSER DE PAPEL TOALHA, DE PAREDE, MANUAL, PARA SANITÁRIOS - ABS - ALTO IMPACTO AUTO-CORTE</t>
  </si>
  <si>
    <t>Un</t>
  </si>
  <si>
    <t xml:space="preserve"> 2020 </t>
  </si>
  <si>
    <t>PEDREIRO (SGSP)</t>
  </si>
  <si>
    <t xml:space="preserve"> O.12.000.092036 </t>
  </si>
  <si>
    <t>Dispenser papel higiênico em ABS para rolão 300/600m, com visor. Ref. Unik JSN, Trilha ou equivalente</t>
  </si>
  <si>
    <t xml:space="preserve"> B.01.000.010124 </t>
  </si>
  <si>
    <t>Graniteiro</t>
  </si>
  <si>
    <t xml:space="preserve"> B.02.000.039056 </t>
  </si>
  <si>
    <t>Argamassa colante industrializada, resistência química e térmicas, tipo AC-III. Ref. Argamassa Ligamax Gold Performance Branca da Eliane ou equivalente</t>
  </si>
  <si>
    <t xml:space="preserve"> B.02.000.037501 </t>
  </si>
  <si>
    <t>Massa plástica para mármore e granito</t>
  </si>
  <si>
    <t xml:space="preserve"> K.02.000.032502 </t>
  </si>
  <si>
    <t>Tampo (com frontão) em granito, com espessura de 2 cm, com furo para 1 cuba simples, nas cores Andorinha, cinza Corumbá, Santa Cecília, verde Ubatuba, acabamento polido</t>
  </si>
  <si>
    <t xml:space="preserve"> O.15.000.065620 </t>
  </si>
  <si>
    <t>Cuba em aço inoxidável simples de 500x400x300mm, AISI 304, liga 18,8 e chapa 22</t>
  </si>
  <si>
    <t xml:space="preserve"> O.11.000.066059 </t>
  </si>
  <si>
    <t>Torneira de mesa (de metal) com bica móvel e arejador, de 1/2´ ou 3/4´, ref. Docol/00111506 ou equivalente</t>
  </si>
  <si>
    <t xml:space="preserve"> O.11.000.066010 </t>
  </si>
  <si>
    <t>Torneira curta cromada de 3/4´ para jardim, ref. Chaveta 1128C da Metais Poly, Linha C23 da Forusi ou equivalente</t>
  </si>
  <si>
    <t>Drenagem de ar condicionado</t>
  </si>
  <si>
    <t xml:space="preserve"> 88248 </t>
  </si>
  <si>
    <t>AUXILIAR DE ENCANADOR OU BOMBEIRO HIDRÁULICO COM ENCARGOS COMPLEMENTARES</t>
  </si>
  <si>
    <t xml:space="preserve"> 00009868 </t>
  </si>
  <si>
    <t>TUBO PVC, SOLDAVEL, DN 25 MM, AGUA FRIA (NBR-5648)</t>
  </si>
  <si>
    <t xml:space="preserve"> 00038383 </t>
  </si>
  <si>
    <t>LIXA D'AGUA EM FOLHA, GRAO 100</t>
  </si>
  <si>
    <t xml:space="preserve"> P.08.000.043090 </t>
  </si>
  <si>
    <t xml:space="preserve"> P.08.000.043088 </t>
  </si>
  <si>
    <t>Entrada em baixa tensao</t>
  </si>
  <si>
    <t xml:space="preserve"> 1.01.39 </t>
  </si>
  <si>
    <t xml:space="preserve"> 1.01.40 </t>
  </si>
  <si>
    <t>PINTOR</t>
  </si>
  <si>
    <t xml:space="preserve"> 1.01.41 </t>
  </si>
  <si>
    <t>AJUDANTE DE PINTOR</t>
  </si>
  <si>
    <t xml:space="preserve"> 1.01.46 </t>
  </si>
  <si>
    <t xml:space="preserve"> 2.05.03 </t>
  </si>
  <si>
    <t>AREIA</t>
  </si>
  <si>
    <t xml:space="preserve"> 2.05.05 </t>
  </si>
  <si>
    <t>CAL HIDRATADA</t>
  </si>
  <si>
    <t xml:space="preserve"> 2.05.08 </t>
  </si>
  <si>
    <t>CIMENTO</t>
  </si>
  <si>
    <t xml:space="preserve"> 2.05.18 </t>
  </si>
  <si>
    <t>PEDRA BRITADA 2</t>
  </si>
  <si>
    <t xml:space="preserve"> 2.10.19 </t>
  </si>
  <si>
    <t>SARRAFO BRUTO 7,5X2,5CM G1-C2</t>
  </si>
  <si>
    <t xml:space="preserve"> 2.10.43 </t>
  </si>
  <si>
    <t>PAINEL DE MADEIRA COMPENSADA PLASTIFICADA E=12MM G1-C8</t>
  </si>
  <si>
    <t xml:space="preserve"> 2.15.25 </t>
  </si>
  <si>
    <t>ACO CA-50-A $MD BITOLAS</t>
  </si>
  <si>
    <t xml:space="preserve"> 2.25.80 </t>
  </si>
  <si>
    <t>BLOCO DE CONCRETO 19X19X39CM - 3MPa</t>
  </si>
  <si>
    <t xml:space="preserve"> 2.70.10 </t>
  </si>
  <si>
    <t>ARAME RECOZIDO N.18</t>
  </si>
  <si>
    <t xml:space="preserve"> 3.75.42 </t>
  </si>
  <si>
    <t>TINTA LATEX STANDARD</t>
  </si>
  <si>
    <t xml:space="preserve"> 3.80.09 </t>
  </si>
  <si>
    <t>SELADOR P/PINTURA LATEX</t>
  </si>
  <si>
    <t xml:space="preserve"> 3.80.40 </t>
  </si>
  <si>
    <t>LIXA D"AGUA</t>
  </si>
  <si>
    <t xml:space="preserve"> 4.01.32 </t>
  </si>
  <si>
    <t>POSTE DE CONCRETO PADRÃO MULTI 200 CPFL CATEGORIA C-6 (INSTALADO)</t>
  </si>
  <si>
    <t xml:space="preserve"> P.18.000.050271 </t>
  </si>
  <si>
    <t>Quadro de embutir em chapa de aço, para disjuntores 16 DIN / 12 Bolt-on de 150 A, QDETG-U II, ref. 904501 da Cemar ou equivalente</t>
  </si>
  <si>
    <t xml:space="preserve"> O.03.000.062682 </t>
  </si>
  <si>
    <t>Duto corrugado para dreno tipo Kananet, DN= 4´</t>
  </si>
  <si>
    <t xml:space="preserve"> P.07.000.091396 </t>
  </si>
  <si>
    <t>Tampa para caixa R1 padrão Telebras</t>
  </si>
  <si>
    <t xml:space="preserve"> P.07.000.045075 </t>
  </si>
  <si>
    <t>Caixa de passagem em alumínio fundido, à prova de tempo e tampa, de 200x200mm, profundidade mínima 100mm, ref. CDT20 da Daisa, Cemar ou equivalente</t>
  </si>
  <si>
    <t xml:space="preserve"> P.02.000.042511 </t>
  </si>
  <si>
    <t>Eletroduto de PVC corrugado flexível leve amarelo, DE= 20mm</t>
  </si>
  <si>
    <t xml:space="preserve"> P.02.000.042512 </t>
  </si>
  <si>
    <t>Eletroduto de PVC corrugado flexível leve amarelo, DE= 25mm</t>
  </si>
  <si>
    <t xml:space="preserve"> P.03.000.042623 </t>
  </si>
  <si>
    <t>Duto corrugado tipo Kanalex-KL, DN= 75mm</t>
  </si>
  <si>
    <t xml:space="preserve"> P.13.000.045006 </t>
  </si>
  <si>
    <t xml:space="preserve"> P.13.000.045008 </t>
  </si>
  <si>
    <t xml:space="preserve"> P.13.000.045140 </t>
  </si>
  <si>
    <t>Caixa de ferro chapa 18, estampada octogonal FM, de 4´ x 4´</t>
  </si>
  <si>
    <t xml:space="preserve"> P.08.000.043223 </t>
  </si>
  <si>
    <t>Cabo de cobre flexível de 3 x 1,5 mm², isolamento 500V - isolação PP 70° C, baixa emissão de fumaça, gases tóxicos e corrosivos; ref. Silflex PP 500V da Sil, Flexicom da Cobrecom ou equivalente</t>
  </si>
  <si>
    <t xml:space="preserve"> P.08.000.043025 </t>
  </si>
  <si>
    <t>Cabo de cobre flexível de 2,5 mm², isolamento 750V - isolação PVC 70°C</t>
  </si>
  <si>
    <t xml:space="preserve"> P.08.000.043027 </t>
  </si>
  <si>
    <t>Cabo de cobre flexível de 6 mm², isolamento 750V - isolação PVC 70°C</t>
  </si>
  <si>
    <t xml:space="preserve"> P.08.000.043012 </t>
  </si>
  <si>
    <t>Cabo de cobre flexível de 1,5 mm², isolamento 750V - isolação PVC 70°C</t>
  </si>
  <si>
    <t xml:space="preserve"> P.08.000.043026 </t>
  </si>
  <si>
    <t>Cabo de cobre flexível de 4 mm², isolamento 750V - isolação PVC 70°C</t>
  </si>
  <si>
    <t xml:space="preserve"> P.13.000.045572 </t>
  </si>
  <si>
    <t>Tomada 2P+T, 10A 250V, completa - ref. 054343 da Pial Legrand ou equivalente</t>
  </si>
  <si>
    <t xml:space="preserve"> P.13.000.045573 </t>
  </si>
  <si>
    <t>Tomada 2P+T, 20A - 250V, completa - ref. 054344 da Pial Legrand ou equivalente</t>
  </si>
  <si>
    <t xml:space="preserve"> P.13.000.042351 </t>
  </si>
  <si>
    <t>Tomada para TV, tipo pino Jack, com placa, ref. linha Trii da Tramontina, Simon, Pial Legrand, ou equivalente</t>
  </si>
  <si>
    <t xml:space="preserve"> P.15.000.045618 </t>
  </si>
  <si>
    <t>Módulo tomada RJ-45 1 posto, referência Alumbra linha Belise ou equivalente</t>
  </si>
  <si>
    <t xml:space="preserve"> P.13.000.045506 </t>
  </si>
  <si>
    <t>Interruptor com 2 teclas (simples), com placa</t>
  </si>
  <si>
    <t xml:space="preserve"> P.13.000.045501 </t>
  </si>
  <si>
    <t>Interruptor com 1 tecla (simples), com placa</t>
  </si>
  <si>
    <t>INSTALACOES ELETRICAS - LUMINARIAS</t>
  </si>
  <si>
    <t xml:space="preserve"> 003420 </t>
  </si>
  <si>
    <t>FITA ISOLANTE HIGHLAND ADESIVA 19m x 20mm</t>
  </si>
  <si>
    <t xml:space="preserve"> 003586 </t>
  </si>
  <si>
    <t>LUMINARIA - PLAFON PAINEL DE LED AVANT POP 18W BRANCO 6500K 1080 LUMENS QUADRADO DE EMBUTIR 22x22cm BIVOLT 903011374 AVANT</t>
  </si>
  <si>
    <t xml:space="preserve"> 099250 </t>
  </si>
  <si>
    <t>ELETRICISTA</t>
  </si>
  <si>
    <t xml:space="preserve"> 099806 </t>
  </si>
  <si>
    <t>AJUDANTE DE ELETRICISTA</t>
  </si>
  <si>
    <t xml:space="preserve"> 000756 </t>
  </si>
  <si>
    <t>LUMINARIA PERFIL DE EMBUTIR 2M SLIM FITA LED LUM21</t>
  </si>
  <si>
    <t xml:space="preserve"> 036680 </t>
  </si>
  <si>
    <t>PRESILHA GARRA PARA PERFIL DE LED UNICO</t>
  </si>
  <si>
    <t xml:space="preserve"> 036681 </t>
  </si>
  <si>
    <t>FITA LED 2835 PARA PERFIL11W 120 LEDS 1350 LUMENS</t>
  </si>
  <si>
    <t xml:space="preserve"> 080525 </t>
  </si>
  <si>
    <t>LUMINARIA - REFLETOR LED 9W MONOCROMATICO BRANCO ATE 18m2 SODRAMAR</t>
  </si>
  <si>
    <t xml:space="preserve"> P.26.000.044616 </t>
  </si>
  <si>
    <t>Disjuntor termomagnético, bipolar 220/380V, corrente de 10 até 50A, conforme selo de conformidade do INMETRO da Pial Legrand, Eletromar / Cuttler Hammer, Soprano, Lorenzetti, ABB ou equivalente</t>
  </si>
  <si>
    <t xml:space="preserve"> P.26.000.044605 </t>
  </si>
  <si>
    <t>Dispositivo diferencial residual de 80 A x 30 mA, 4 polos, ref. PBA 480/030 da GE, 5SM1-347-0 da Siemens ou equivalente</t>
  </si>
  <si>
    <t xml:space="preserve"> 54489 </t>
  </si>
  <si>
    <t>DISJUNTOR CX. MOLD. TRIP. - DISP. TERMOMAG. AJUST. - 200A</t>
  </si>
  <si>
    <t xml:space="preserve"> 1037 </t>
  </si>
  <si>
    <t>ELETROTÉCNICO MONTADOR (SGSP)</t>
  </si>
  <si>
    <t xml:space="preserve"> 2044 </t>
  </si>
  <si>
    <t>AJUDANTE DE ELETRICISTA (SGSP)</t>
  </si>
  <si>
    <t xml:space="preserve"> 2041 </t>
  </si>
  <si>
    <t>ELETRICISTA (SGSP)</t>
  </si>
  <si>
    <t xml:space="preserve"> 54582 </t>
  </si>
  <si>
    <t>DPS - DISPOSITIVO DE PROTEÇÃO CONTRA SURTOS – 45KA – 1000 VOLTS - CORRENTE CONTÍNUA - CLASSE II - P/ SISTEMA FOTOVOLTÁICO</t>
  </si>
  <si>
    <t xml:space="preserve"> 58011 </t>
  </si>
  <si>
    <t>TERMINAL DE PRESSÃO PARA CABO  95MM2</t>
  </si>
  <si>
    <t xml:space="preserve"> 58009 </t>
  </si>
  <si>
    <t>TERMINAL DE PRESSÃO PARA CABO  50MM2</t>
  </si>
  <si>
    <t xml:space="preserve"> P.19.000.048002 </t>
  </si>
  <si>
    <t>Barra condutora chata em alumínio de 7/8´ x 1/8´ x 3 m; ref. TEL 771 da Termotécnica ou equivalente</t>
  </si>
  <si>
    <t xml:space="preserve"> P.19.000.044308 </t>
  </si>
  <si>
    <t>Terminal aéreo em barra de cobre circular maciço, diâmetro de 1/4´ x 300; ref. TAG da Gelcam ou equivalente</t>
  </si>
  <si>
    <t xml:space="preserve"> P.30.000.042212 </t>
  </si>
  <si>
    <t>Conector Split-Bolt para cabo de 35mm², em latão, com rabicho</t>
  </si>
  <si>
    <t xml:space="preserve"> P.30.000.090458 </t>
  </si>
  <si>
    <t>Terminal de pressão para cabo 35mm²</t>
  </si>
  <si>
    <t xml:space="preserve"> P.08.000.043038 </t>
  </si>
  <si>
    <t>Cabo cobre nu tempera mole classe 2, de 16mm²</t>
  </si>
  <si>
    <t xml:space="preserve"> P.08.000.050102 </t>
  </si>
  <si>
    <t>Cabo cobre nu tempera mole classe 2, de 50mm²</t>
  </si>
  <si>
    <t xml:space="preserve"> P.19.000.042252 </t>
  </si>
  <si>
    <t>Haste de aterramento de 5/8"x2,4 m, em aço SAE1010/1020, trefilado e revestido de cobre eletrolítico; ref. PK0065 da Paraklin, TEL5824 da Termotécnica ou equivalente</t>
  </si>
  <si>
    <t xml:space="preserve"> B.02.000.039032 </t>
  </si>
  <si>
    <t>Argamassa colante industrializada flexível, para assentamento de placas cerâmicas em áreas internas e externas, tipo AC-II, conforme NBR 14081, ref. comercial Ligamax Gold Extra fabricante Eliane ou equivalente</t>
  </si>
  <si>
    <t xml:space="preserve"> B.02.000.093344 </t>
  </si>
  <si>
    <t>Rejunte flexível para porcelanato, aplicada em áreas internas e externas com junta até 3mm, ref. Rejunte Ligamax Gold Total da Eliane ou equivalente</t>
  </si>
  <si>
    <t xml:space="preserve"> G.02.000.023001 </t>
  </si>
  <si>
    <t>Porcelanato esmaltado tipo antiderrapante, com acabamento retificado, indicado para áreas externas, grupo de absorção BIa; referência comercial Eliane, Itagres, Elizabeth, Cecrisa ou equivalente</t>
  </si>
  <si>
    <t xml:space="preserve"> B.02.000.039027 </t>
  </si>
  <si>
    <t>Rejunte flexível cores diversas, para áreas interna e externa, pisos e paredes, juntas de 2 a 10 mm</t>
  </si>
  <si>
    <t xml:space="preserve"> K.02.000.032508 </t>
  </si>
  <si>
    <t>Peitoril e/ou soleira em granito, com espessura de 2 cm e largura de 20 cm, nas cores cinza Andorinha, cinza Corumbá, Santa Cecília, verde Ubatuba ou branco Dallas, acabamento polido - material</t>
  </si>
  <si>
    <t>Contrapiso</t>
  </si>
  <si>
    <t xml:space="preserve"> 87301 </t>
  </si>
  <si>
    <t>ARGAMASSA TRAÇO 1:4 (EM VOLUME DE CIMENTO E AREIA MÉDIA ÚMIDA) PARA CONTRAPISO, PREPARO MECÂNICO COM BETONEIRA 400 L. AF_08/2019</t>
  </si>
  <si>
    <t>Argamassas</t>
  </si>
  <si>
    <t xml:space="preserve"> B.06.000.021560 </t>
  </si>
  <si>
    <t>Tela soldada, diversas bitolas</t>
  </si>
  <si>
    <t xml:space="preserve"> C.01.000.092024 </t>
  </si>
  <si>
    <t>Corte de junta dilatação com serra disco diamantado na largura de 3 mm, profundidade de 3 cm, para piso de concreto ou alta resistência 3,0 mm x 3,0 cm</t>
  </si>
  <si>
    <t xml:space="preserve"> C.01.000.098199 </t>
  </si>
  <si>
    <t>Mão de obra especializada, equipamento e ferramentas apropriadas para nivelamento de piso em concreto com desempeno de magnésio e acabadora de superfície</t>
  </si>
  <si>
    <t>Guias e sarjetas</t>
  </si>
  <si>
    <t xml:space="preserve"> 88243 </t>
  </si>
  <si>
    <t>AJUDANTE ESPECIALIZADO COM ENCARGOS COMPLEMENTARES</t>
  </si>
  <si>
    <t xml:space="preserve"> 88631 </t>
  </si>
  <si>
    <t>ARGAMASSA TRAÇO 1:4 (EM VOLUME DE CIMENTO E AREIA MÉDIA ÚMIDA), PREPARO MANUAL. AF_08/2019</t>
  </si>
  <si>
    <t xml:space="preserve"> 92960 </t>
  </si>
  <si>
    <t>MÁQUINA EXTRUSORA DE CONCRETO PARA GUIAS E SARJETAS, MOTOR A DIESEL, POTÊNCIA 14 CV - CHP DIURNO. AF_12/2015</t>
  </si>
  <si>
    <t xml:space="preserve"> 92961 </t>
  </si>
  <si>
    <t>MÁQUINA EXTRUSORA DE CONCRETO PARA GUIAS E SARJETAS, MOTOR A DIESEL, POTÊNCIA 14 CV - CHI DIURNO. AF_12/2015</t>
  </si>
  <si>
    <t xml:space="preserve"> 00000370 </t>
  </si>
  <si>
    <t>AREIA MEDIA - POSTO JAZIDA/FORNECEDOR (RETIRADO NA JAZIDA, SEM TRANSPORTE)</t>
  </si>
  <si>
    <t xml:space="preserve"> 00034492 </t>
  </si>
  <si>
    <t>CONCRETO USINADO BOMBEAVEL, CLASSE DE RESISTENCIA C20, COM BRITA 0 E 1, SLUMP = 100 +/- 20 MM, EXCLUI SERVICO DE BOMBEAMENTO (NBR 8953)</t>
  </si>
  <si>
    <t xml:space="preserve"> B.05.000.020516 </t>
  </si>
  <si>
    <t>Brita graduada usinada posto obra</t>
  </si>
  <si>
    <t xml:space="preserve"> 10503 </t>
  </si>
  <si>
    <t>AREIA LAVADA FINA</t>
  </si>
  <si>
    <t xml:space="preserve"> 10506 </t>
  </si>
  <si>
    <t>AREIA LAVADA MÉDIA</t>
  </si>
  <si>
    <t xml:space="preserve"> 94221 </t>
  </si>
  <si>
    <t>COMPACTADOR MANUAL DE PLACA VIBRATÓRIA REVERSÍVEL 282 KG</t>
  </si>
  <si>
    <t>Equipamento</t>
  </si>
  <si>
    <t xml:space="preserve"> 36091 </t>
  </si>
  <si>
    <t>PISO DE CONCRETO PRÉ-MOLDADO INTERTRAVADO E=8 CM-COR NATUR. MODELO "RETANGULAR" - 10 X 20 CM</t>
  </si>
  <si>
    <t xml:space="preserve"> 2062 </t>
  </si>
  <si>
    <t>CALCETEIRO - ASSENTADOR DE GUIAS (SGSP)</t>
  </si>
  <si>
    <t xml:space="preserve"> 2099 </t>
  </si>
  <si>
    <t>SERVENTE (SGSP)</t>
  </si>
  <si>
    <t xml:space="preserve"> B.05.000.020514 </t>
  </si>
  <si>
    <t>Pedra britada usinada n° 2 posto obra</t>
  </si>
  <si>
    <t xml:space="preserve"> C.04.000.020535 </t>
  </si>
  <si>
    <t>Concreto usinado fck= 20 MPa, slump 5 ± 1cm, brita 1 e 2</t>
  </si>
  <si>
    <t xml:space="preserve"> J.02.000.037518 </t>
  </si>
  <si>
    <t>Selador para tinta acrílica Coral, Suvinil ou equivalente</t>
  </si>
  <si>
    <t xml:space="preserve"> J.02.000.037542 </t>
  </si>
  <si>
    <t>Tinta 100% acrílica acabamento fosco acetinado, Coral, Suvinil 100% Acrílico (Glasurit), Sherwin Willian, Metalatex (Fusecolor) ou equivalente</t>
  </si>
  <si>
    <t xml:space="preserve"> S.04.000.038014 </t>
  </si>
  <si>
    <t>Lixa massa/madeira uso geral Norton, Alcar ou equivalente (médias)</t>
  </si>
  <si>
    <t xml:space="preserve"> J.02.000.038000 </t>
  </si>
  <si>
    <t>Fundo preparador base água, para madeira e metais; ref. Fundo preparador Coralit Balance da Coral, Metalatex Eco fundo antiferrugem da Sherwin Williams, Fundo preparador da Suvinil ou equivalente</t>
  </si>
  <si>
    <t xml:space="preserve"> J.02.000.028058 </t>
  </si>
  <si>
    <t>Tinta esmalte Premium, base água, brilhante/acetinado, várias cores, pintura interna/externa, ref. Coralit Zero da Coral, Futura Premium, Suvinil Premium, Metalatex Eco, Sherwin Williams, ou equivalente</t>
  </si>
  <si>
    <t xml:space="preserve"> E.01.000.037530 </t>
  </si>
  <si>
    <t>Pintura de acabamento em tinta esmalte sobre estrutura metálica</t>
  </si>
  <si>
    <t xml:space="preserve"> B.09.000.024069 </t>
  </si>
  <si>
    <t>Aditivo hidrófugo de pega normal, ref. Vedacit / Otto Baumgart, Sika 1 / Sika</t>
  </si>
  <si>
    <t xml:space="preserve"> C.07.000.022539 </t>
  </si>
  <si>
    <t>Bloco de concreto estrutural de 14 x 19 x 39 cm, classe A (resistência &gt; ou = 8 Mpa)</t>
  </si>
  <si>
    <t xml:space="preserve"> S.05.000.026608 </t>
  </si>
  <si>
    <t>Ferro perfilado trabalhado</t>
  </si>
  <si>
    <t xml:space="preserve"> C.06.000.025012 </t>
  </si>
  <si>
    <t>Capa para muro e/ou rufo pré-moldado em concreto de 20 x 50 x 26 cm, ref. mod. 75D da Neo Rex ou equivalente</t>
  </si>
  <si>
    <t xml:space="preserve"> B.01.000.010126 </t>
  </si>
  <si>
    <t>Jardineiro</t>
  </si>
  <si>
    <t xml:space="preserve"> N.01.000.038511 </t>
  </si>
  <si>
    <t xml:space="preserve"> N.01.000.038513 </t>
  </si>
  <si>
    <t>Grama tipo Esmeralda em placas</t>
  </si>
  <si>
    <t>URBANIZACAO</t>
  </si>
  <si>
    <t xml:space="preserve"> 007063 </t>
  </si>
  <si>
    <t>LOMBADA QUEBRA MOLAS DE BORRACHA 5cm - 100x35x5cm</t>
  </si>
  <si>
    <t>ESCADA DE EMERGÊNCIA - PRÉDIO DA FACULDADE</t>
  </si>
  <si>
    <t>DEMOLIÇÕES</t>
  </si>
  <si>
    <t xml:space="preserve"> 03.01.210 </t>
  </si>
  <si>
    <t>Demolição mecanizada de concreto armado, inclusive fragmentação e acomodação do material</t>
  </si>
  <si>
    <t xml:space="preserve"> 16.1.2 </t>
  </si>
  <si>
    <t xml:space="preserve"> 01.23.070 </t>
  </si>
  <si>
    <t>Demarcação de área com disco de corte diamantado</t>
  </si>
  <si>
    <t>VB E BLOCOS</t>
  </si>
  <si>
    <t xml:space="preserve"> 16.2.3 </t>
  </si>
  <si>
    <t xml:space="preserve"> 16.2.4 </t>
  </si>
  <si>
    <t xml:space="preserve"> 16.2.5 </t>
  </si>
  <si>
    <t xml:space="preserve"> 16.2.6 </t>
  </si>
  <si>
    <t xml:space="preserve"> 16.2.7 </t>
  </si>
  <si>
    <t xml:space="preserve"> 16.2.8 </t>
  </si>
  <si>
    <t xml:space="preserve"> 16.2.9 </t>
  </si>
  <si>
    <t>ESTRUTURA METÁLICA</t>
  </si>
  <si>
    <t xml:space="preserve"> 00043082 </t>
  </si>
  <si>
    <t>PERFIL "I" OU "W" EM ACO LAMINADO, QUAISQUER DIMENSOES</t>
  </si>
  <si>
    <t xml:space="preserve"> 16.3.2 </t>
  </si>
  <si>
    <t xml:space="preserve"> 00001323 </t>
  </si>
  <si>
    <t>CHAPA DE ACO FINA A QUENTE BITOLA MSG 18, E = 1,20 MM (9,60 KG/M2)</t>
  </si>
  <si>
    <t xml:space="preserve"> 16.3.3 </t>
  </si>
  <si>
    <t xml:space="preserve"> G0221 </t>
  </si>
  <si>
    <t>Mão de obra para montagem de perfis metálicos, inclusive solda e acessórios</t>
  </si>
  <si>
    <t xml:space="preserve"> 16.3.4 </t>
  </si>
  <si>
    <t xml:space="preserve"> 16.3.5 </t>
  </si>
  <si>
    <t xml:space="preserve"> 00021148 </t>
  </si>
  <si>
    <t>TUBO ACO CARBONO SEM COSTURA 2", E= *3,91* MM, SCHEDULE 40, *5,43* KG/M</t>
  </si>
  <si>
    <t xml:space="preserve"> 00040624 </t>
  </si>
  <si>
    <t>TUBO ACO CARBONO SEM COSTURA 1 1/2", E= *3,68 MM, SCHEDULE 40, 4,05 KG/M</t>
  </si>
  <si>
    <t xml:space="preserve"> 16.4 </t>
  </si>
  <si>
    <t>RECOMPOSIÇÃO DO PISO</t>
  </si>
  <si>
    <t xml:space="preserve"> 16.4.1 </t>
  </si>
  <si>
    <t xml:space="preserve"> 16.4.2 </t>
  </si>
  <si>
    <t xml:space="preserve"> 11.03.090 </t>
  </si>
  <si>
    <t>Concreto preparado no local, fck = 20 MPa</t>
  </si>
  <si>
    <t xml:space="preserve"> 16.4.3 </t>
  </si>
  <si>
    <t xml:space="preserve"> 2466 </t>
  </si>
  <si>
    <t>AGETOP CIVIL</t>
  </si>
  <si>
    <t>CANTONEIRA 1.1/2" X 1.1/2" CH. 3/16"</t>
  </si>
  <si>
    <t>GUARDA-CORPO E CORRIMÃO</t>
  </si>
  <si>
    <t xml:space="preserve"> 00042574 </t>
  </si>
  <si>
    <t>TUBO ACO CARBONO SEM COSTURA 1", E= *3,38 MM, SCHEDULE 40, *2,50* KG/M</t>
  </si>
  <si>
    <t xml:space="preserve"> 16.4.4 </t>
  </si>
  <si>
    <t xml:space="preserve"> 16.4.5 </t>
  </si>
  <si>
    <t xml:space="preserve"> 16.5 </t>
  </si>
  <si>
    <t xml:space="preserve"> 16.5.1 </t>
  </si>
  <si>
    <t xml:space="preserve"> 16.5.2 </t>
  </si>
  <si>
    <t xml:space="preserve"> 17 </t>
  </si>
  <si>
    <t xml:space="preserve"> 17.1 </t>
  </si>
  <si>
    <t xml:space="preserve"> 17.1.1 </t>
  </si>
  <si>
    <t xml:space="preserve"> 17.2 </t>
  </si>
  <si>
    <t xml:space="preserve"> 17.2.1 </t>
  </si>
  <si>
    <t xml:space="preserve"> 17.2.2 </t>
  </si>
  <si>
    <t xml:space="preserve"> 17.3 </t>
  </si>
  <si>
    <t xml:space="preserve"> 17.3.1 </t>
  </si>
  <si>
    <t>(1,7m de comprimento*0,4m de largura*0,1m de espessura)+(0,7m de largura*0,7m de profundidade*0,1m de espessura*4 blocos)</t>
  </si>
  <si>
    <t>(((1,7m de comprimento+0,4m de largura)*2 lados)+(0,7m de largura*4 faces*4 blocos))*0,1m de altura</t>
  </si>
  <si>
    <t>(1,7m de comprimento*0,4m de largura*0,35m de altura)+(0,7m de largura*0,7m de comprimento *0,55m profundidade*4 blocos)</t>
  </si>
  <si>
    <t>(1,7m de comprimento*0,4m de largura)+(0,7m de largura*0,7m de comprimento*4 blocos)</t>
  </si>
  <si>
    <t>2,64m² da área de apiloamento*0,05m de espessura</t>
  </si>
  <si>
    <t>(3,4m de comprimento*0,3m de altura)+(2m de comprimento*0,5m de altura*4 blocos)</t>
  </si>
  <si>
    <t>0,59m³ do volume do concreto*94kg</t>
  </si>
  <si>
    <t>(1,5m de comprimento*0,2m de largura*0,3m de altura)+(0,5m de largura*0,5m de comprimento *0,5m profundidade*4 blocos)</t>
  </si>
  <si>
    <t>(1,32m³ de escavação-(0,13m³ do lastro+0,59m³ do concreto))*1,3 do empolamento</t>
  </si>
  <si>
    <t>(26m*11,4kg)+(4un*1,7m de altura*11,4kg)</t>
  </si>
  <si>
    <t>1,4m de comprimento*26 un*2,68kg</t>
  </si>
  <si>
    <t>15m² da área de piso*9,6kg</t>
  </si>
  <si>
    <t>15m² da área de piso</t>
  </si>
  <si>
    <t>15m² da área *2,2</t>
  </si>
  <si>
    <t>(9,9m+9,9m+2,9m)*6 fiadas</t>
  </si>
  <si>
    <t>(1,05m de altura*(8m+8m+3m))</t>
  </si>
  <si>
    <t>((9,9m+9,9m+2,9m))+((4,3m+3m)*2 para topo e corrimão)</t>
  </si>
  <si>
    <t>26un*1,05m de altura</t>
  </si>
  <si>
    <t>27,30m² da área de guarda corpo*2,2</t>
  </si>
  <si>
    <t>(0,4m²+(0,25m²*4 bloco))*0,05m de espessura</t>
  </si>
  <si>
    <t>1,40m² da área a recompor*0,1m de espessura</t>
  </si>
  <si>
    <t>Kg</t>
  </si>
  <si>
    <t xml:space="preserve"> S.04.000.024045 </t>
  </si>
  <si>
    <t>Disco diamantado para máquinas serra-mármore</t>
  </si>
  <si>
    <t xml:space="preserve"> S.04.000.049579 </t>
  </si>
  <si>
    <t>Serra circular</t>
  </si>
  <si>
    <t xml:space="preserve"> E.03.000.026516 </t>
  </si>
  <si>
    <t>Parafuso em latão com cabeça sextavada, com rosca mecânica de 3/8´ x 50mm</t>
  </si>
  <si>
    <t xml:space="preserve"> H.13.000.069565 </t>
  </si>
  <si>
    <t>Solda eletrolítica tipo Smaw-AWS 6013 eletrodos esp. 2,5/3,25/4,0mm; ref. ESAB, LINCOLN, WELD ou equivalente</t>
  </si>
  <si>
    <t xml:space="preserve"> S.04.000.026514 </t>
  </si>
  <si>
    <t>Parafuso auto-atarraxante com fenda, zincado branco de 9,5 x 2,9 mm</t>
  </si>
  <si>
    <t>30 DIAS</t>
  </si>
  <si>
    <t>90 DIAS</t>
  </si>
  <si>
    <t>150 DIAS</t>
  </si>
  <si>
    <t>210 DIAS</t>
  </si>
  <si>
    <t>100,00%
84.966,60</t>
  </si>
  <si>
    <t>100,00%
24.643,69</t>
  </si>
  <si>
    <t>100,00%
18.796,56</t>
  </si>
  <si>
    <t>25,00%
4.699,14</t>
  </si>
  <si>
    <t>75,00%
14.097,42</t>
  </si>
  <si>
    <t>100,00%
36.207,43</t>
  </si>
  <si>
    <t>35,00%
12.672,60</t>
  </si>
  <si>
    <t>65,00%
23.534,83</t>
  </si>
  <si>
    <t>100,00%
16.849,07</t>
  </si>
  <si>
    <t>25,00%
4.212,27</t>
  </si>
  <si>
    <t>45,00%
7.582,08</t>
  </si>
  <si>
    <t>30,00%
5.054,72</t>
  </si>
  <si>
    <t>100,00%
20.343,57</t>
  </si>
  <si>
    <t>100,00%
196.180,90</t>
  </si>
  <si>
    <t>85,00%
166.753,77</t>
  </si>
  <si>
    <t>15,00%
29.427,14</t>
  </si>
  <si>
    <t>100,00%
24.249,49</t>
  </si>
  <si>
    <t>15,00%
3.637,42</t>
  </si>
  <si>
    <t>25,00%
6.062,37</t>
  </si>
  <si>
    <t>35,00%
8.487,32</t>
  </si>
  <si>
    <t>10,00%
2.424,95</t>
  </si>
  <si>
    <t>100,00%
55.338,25</t>
  </si>
  <si>
    <t>15,00%
8.300,74</t>
  </si>
  <si>
    <t>20,00%
11.067,65</t>
  </si>
  <si>
    <t>30,00%
16.601,48</t>
  </si>
  <si>
    <t>100,00%
230,85</t>
  </si>
  <si>
    <t>100,00%
6.444,44</t>
  </si>
  <si>
    <t>65,00%
4.188,89</t>
  </si>
  <si>
    <t>35,00%
2.255,55</t>
  </si>
  <si>
    <t>100,00%
5.792,05</t>
  </si>
  <si>
    <t>100,00%
75.337,96</t>
  </si>
  <si>
    <t>45,00%
33.902,08</t>
  </si>
  <si>
    <t>55,00%
41.435,88</t>
  </si>
  <si>
    <t>100,00%
16.625,58</t>
  </si>
  <si>
    <t>85,00%
14.131,74</t>
  </si>
  <si>
    <t>15,00%
2.493,84</t>
  </si>
  <si>
    <t>100,00%
250.930,97</t>
  </si>
  <si>
    <t>100,00%
40.082,11</t>
  </si>
  <si>
    <t>70,00%
28.057,48</t>
  </si>
  <si>
    <t>30,00%
12.024,63</t>
  </si>
  <si>
    <t>100,00%
23.498,94</t>
  </si>
  <si>
    <t>Porcentagem</t>
  </si>
  <si>
    <t>15,88%</t>
  </si>
  <si>
    <t>6,13%</t>
  </si>
  <si>
    <t>23,98%</t>
  </si>
  <si>
    <t>10,38%</t>
  </si>
  <si>
    <t>37,96%</t>
  </si>
  <si>
    <t>2,77%</t>
  </si>
  <si>
    <t>2,9%</t>
  </si>
  <si>
    <t>Custo</t>
  </si>
  <si>
    <t>142.366,90</t>
  </si>
  <si>
    <t>54.945,08</t>
  </si>
  <si>
    <t>215.000,69</t>
  </si>
  <si>
    <t>93.069,94</t>
  </si>
  <si>
    <t>340.285,61</t>
  </si>
  <si>
    <t>24.857,42</t>
  </si>
  <si>
    <t>25.992,77</t>
  </si>
  <si>
    <t>Porcentagem Acumulado</t>
  </si>
  <si>
    <t>22,01%</t>
  </si>
  <si>
    <t>45,99%</t>
  </si>
  <si>
    <t>56,37%</t>
  </si>
  <si>
    <t>94,33%</t>
  </si>
  <si>
    <t>97,1%</t>
  </si>
  <si>
    <t>100,0%</t>
  </si>
  <si>
    <t>Custo Acumulado</t>
  </si>
  <si>
    <t>197.311,98</t>
  </si>
  <si>
    <t>412.312,67</t>
  </si>
  <si>
    <t>505.382,61</t>
  </si>
  <si>
    <t>845.668,22</t>
  </si>
  <si>
    <t>870.525,64</t>
  </si>
  <si>
    <t>896.518,46</t>
  </si>
  <si>
    <t>Quantidade</t>
  </si>
  <si>
    <t>Valor Unitário</t>
  </si>
  <si>
    <t>Peso</t>
  </si>
  <si>
    <t>Valor Acumulado</t>
  </si>
  <si>
    <t>Peso Acumulado</t>
  </si>
  <si>
    <t>Operativa</t>
  </si>
  <si>
    <t>Improdutiva</t>
  </si>
  <si>
    <t>Geral</t>
  </si>
  <si>
    <t>7.588,4246900</t>
  </si>
  <si>
    <t>17,90</t>
  </si>
  <si>
    <t>135.832,80</t>
  </si>
  <si>
    <t>15,15%</t>
  </si>
  <si>
    <t>3.622,2000000</t>
  </si>
  <si>
    <t>35,16</t>
  </si>
  <si>
    <t>127.356,55</t>
  </si>
  <si>
    <t>14,21%</t>
  </si>
  <si>
    <t>29,36%</t>
  </si>
  <si>
    <t>2.393,7679660</t>
  </si>
  <si>
    <t>23,92</t>
  </si>
  <si>
    <t>57.258,93</t>
  </si>
  <si>
    <t>6,39%</t>
  </si>
  <si>
    <t>35,74%</t>
  </si>
  <si>
    <t>799,9421800</t>
  </si>
  <si>
    <t>29,12</t>
  </si>
  <si>
    <t>23.294,32</t>
  </si>
  <si>
    <t>2,60%</t>
  </si>
  <si>
    <t>38,34%</t>
  </si>
  <si>
    <t>26.340,3620880</t>
  </si>
  <si>
    <t>0,77</t>
  </si>
  <si>
    <t>20.282,08</t>
  </si>
  <si>
    <t>2,26%</t>
  </si>
  <si>
    <t>40,60%</t>
  </si>
  <si>
    <t>602,8995520</t>
  </si>
  <si>
    <t>33,36</t>
  </si>
  <si>
    <t>20.112,73</t>
  </si>
  <si>
    <t>2,24%</t>
  </si>
  <si>
    <t>42,85%</t>
  </si>
  <si>
    <t>194,6700000</t>
  </si>
  <si>
    <t>99,26</t>
  </si>
  <si>
    <t>19.322,94</t>
  </si>
  <si>
    <t>2,16%</t>
  </si>
  <si>
    <t>45,00%</t>
  </si>
  <si>
    <t>127,3000000</t>
  </si>
  <si>
    <t>147,31</t>
  </si>
  <si>
    <t>18.752,56</t>
  </si>
  <si>
    <t>2,09%</t>
  </si>
  <si>
    <t>47,09%</t>
  </si>
  <si>
    <t>1.886,2768000</t>
  </si>
  <si>
    <t>8,88</t>
  </si>
  <si>
    <t>16.750,14</t>
  </si>
  <si>
    <t>1,87%</t>
  </si>
  <si>
    <t>48,96%</t>
  </si>
  <si>
    <t>20,8987000</t>
  </si>
  <si>
    <t>707,10</t>
  </si>
  <si>
    <t>14.777,47</t>
  </si>
  <si>
    <t>1,65%</t>
  </si>
  <si>
    <t>50,61%</t>
  </si>
  <si>
    <t>483,8504200</t>
  </si>
  <si>
    <t>14.089,72</t>
  </si>
  <si>
    <t>1,57%</t>
  </si>
  <si>
    <t>52,18%</t>
  </si>
  <si>
    <t>64,7855100</t>
  </si>
  <si>
    <t>216,03</t>
  </si>
  <si>
    <t>13.995,61</t>
  </si>
  <si>
    <t>1,56%</t>
  </si>
  <si>
    <t>53,74%</t>
  </si>
  <si>
    <t>94,8117200</t>
  </si>
  <si>
    <t>145,28</t>
  </si>
  <si>
    <t>13.774,25</t>
  </si>
  <si>
    <t>1,54%</t>
  </si>
  <si>
    <t>55,28%</t>
  </si>
  <si>
    <t>46,4858160</t>
  </si>
  <si>
    <t>266,43</t>
  </si>
  <si>
    <t>12.385,22</t>
  </si>
  <si>
    <t>1,38%</t>
  </si>
  <si>
    <t>56,66%</t>
  </si>
  <si>
    <t>38,6750000</t>
  </si>
  <si>
    <t>310,70</t>
  </si>
  <si>
    <t>12.016,32</t>
  </si>
  <si>
    <t>1,34%</t>
  </si>
  <si>
    <t>58,00%</t>
  </si>
  <si>
    <t>89,0000000</t>
  </si>
  <si>
    <t>125,13</t>
  </si>
  <si>
    <t>11.136,57</t>
  </si>
  <si>
    <t>1,24%</t>
  </si>
  <si>
    <t>59,24%</t>
  </si>
  <si>
    <t>264,5606250</t>
  </si>
  <si>
    <t>37,98</t>
  </si>
  <si>
    <t>10.048,01</t>
  </si>
  <si>
    <t>1,12%</t>
  </si>
  <si>
    <t>60,37%</t>
  </si>
  <si>
    <t>1.762,2000000</t>
  </si>
  <si>
    <t>5,62</t>
  </si>
  <si>
    <t>9.903,56</t>
  </si>
  <si>
    <t>1,10%</t>
  </si>
  <si>
    <t>61,47%</t>
  </si>
  <si>
    <t>1,0000000</t>
  </si>
  <si>
    <t>9.843,97</t>
  </si>
  <si>
    <t>62,57%</t>
  </si>
  <si>
    <t>136,2000000</t>
  </si>
  <si>
    <t>71,81</t>
  </si>
  <si>
    <t>9.780,52</t>
  </si>
  <si>
    <t>1,09%</t>
  </si>
  <si>
    <t>63,66%</t>
  </si>
  <si>
    <t>404,6445250</t>
  </si>
  <si>
    <t>9.679,10</t>
  </si>
  <si>
    <t>1,08%</t>
  </si>
  <si>
    <t>64,74%</t>
  </si>
  <si>
    <t>49,7200000</t>
  </si>
  <si>
    <t>191,38</t>
  </si>
  <si>
    <t>9.515,41</t>
  </si>
  <si>
    <t>1,06%</t>
  </si>
  <si>
    <t>65,80%</t>
  </si>
  <si>
    <t>118,2315000</t>
  </si>
  <si>
    <t>79,90</t>
  </si>
  <si>
    <t>9.446,70</t>
  </si>
  <si>
    <t>1,05%</t>
  </si>
  <si>
    <t>66,85%</t>
  </si>
  <si>
    <t>38,4000000</t>
  </si>
  <si>
    <t>236,60</t>
  </si>
  <si>
    <t>9.085,44</t>
  </si>
  <si>
    <t>1,01%</t>
  </si>
  <si>
    <t>67,87%</t>
  </si>
  <si>
    <t>14,8804000</t>
  </si>
  <si>
    <t>541,04</t>
  </si>
  <si>
    <t>8.050,89</t>
  </si>
  <si>
    <t>0,90%</t>
  </si>
  <si>
    <t>68,77%</t>
  </si>
  <si>
    <t>336,1582900</t>
  </si>
  <si>
    <t>8.040,91</t>
  </si>
  <si>
    <t>69,66%</t>
  </si>
  <si>
    <t>845,7000000</t>
  </si>
  <si>
    <t>8,19</t>
  </si>
  <si>
    <t>6.926,28</t>
  </si>
  <si>
    <t>0,77%</t>
  </si>
  <si>
    <t>70,43%</t>
  </si>
  <si>
    <t>10,7575200</t>
  </si>
  <si>
    <t>625,57</t>
  </si>
  <si>
    <t>6.729,58</t>
  </si>
  <si>
    <t>0,75%</t>
  </si>
  <si>
    <t>71,19%</t>
  </si>
  <si>
    <t>262,9463200</t>
  </si>
  <si>
    <t>6.289,68</t>
  </si>
  <si>
    <t>0,70%</t>
  </si>
  <si>
    <t>71,89%</t>
  </si>
  <si>
    <t>179,4500000</t>
  </si>
  <si>
    <t>34,88</t>
  </si>
  <si>
    <t>6.259,22</t>
  </si>
  <si>
    <t>72,58%</t>
  </si>
  <si>
    <t>169,8367000</t>
  </si>
  <si>
    <t>5.923,90</t>
  </si>
  <si>
    <t>0,66%</t>
  </si>
  <si>
    <t>73,25%</t>
  </si>
  <si>
    <t>169,2435000</t>
  </si>
  <si>
    <t>5.903,21</t>
  </si>
  <si>
    <t>73,90%</t>
  </si>
  <si>
    <t>1.425,7100000</t>
  </si>
  <si>
    <t>3,98</t>
  </si>
  <si>
    <t>5.674,33</t>
  </si>
  <si>
    <t>0,63%</t>
  </si>
  <si>
    <t>74,54%</t>
  </si>
  <si>
    <t>24,5700000</t>
  </si>
  <si>
    <t>227,08</t>
  </si>
  <si>
    <t>5.579,36</t>
  </si>
  <si>
    <t>0,62%</t>
  </si>
  <si>
    <t>75,16%</t>
  </si>
  <si>
    <t>799,5000000</t>
  </si>
  <si>
    <t>6,75</t>
  </si>
  <si>
    <t>5.396,63</t>
  </si>
  <si>
    <t>0,60%</t>
  </si>
  <si>
    <t>75,76%</t>
  </si>
  <si>
    <t>373,9200000</t>
  </si>
  <si>
    <t>12,88</t>
  </si>
  <si>
    <t>4.816,09</t>
  </si>
  <si>
    <t>0,54%</t>
  </si>
  <si>
    <t>76,30%</t>
  </si>
  <si>
    <t>37,3000000</t>
  </si>
  <si>
    <t>128,70</t>
  </si>
  <si>
    <t>4.800,51</t>
  </si>
  <si>
    <t>76,83%</t>
  </si>
  <si>
    <t>208,0000000</t>
  </si>
  <si>
    <t>21,47</t>
  </si>
  <si>
    <t>4.465,76</t>
  </si>
  <si>
    <t>0,50%</t>
  </si>
  <si>
    <t>77,33%</t>
  </si>
  <si>
    <t>99,4400000</t>
  </si>
  <si>
    <t>44,73</t>
  </si>
  <si>
    <t>4.447,95</t>
  </si>
  <si>
    <t>77,83%</t>
  </si>
  <si>
    <t>179,7800000</t>
  </si>
  <si>
    <t>4.300,34</t>
  </si>
  <si>
    <t>0,48%</t>
  </si>
  <si>
    <t>78,31%</t>
  </si>
  <si>
    <t>205,0000000</t>
  </si>
  <si>
    <t>20,90</t>
  </si>
  <si>
    <t>4.284,50</t>
  </si>
  <si>
    <t>78,79%</t>
  </si>
  <si>
    <t xml:space="preserve"> 00006110 </t>
  </si>
  <si>
    <t>SERRALHEIRO (HORISTA)</t>
  </si>
  <si>
    <t>146,8756080</t>
  </si>
  <si>
    <t>29,11</t>
  </si>
  <si>
    <t>4.275,55</t>
  </si>
  <si>
    <t>79,26%</t>
  </si>
  <si>
    <t>172,9867000</t>
  </si>
  <si>
    <t>4.137,84</t>
  </si>
  <si>
    <t>0,46%</t>
  </si>
  <si>
    <t>79,72%</t>
  </si>
  <si>
    <t>44,6250000</t>
  </si>
  <si>
    <t>91,20</t>
  </si>
  <si>
    <t>4.069,80</t>
  </si>
  <si>
    <t>0,45%</t>
  </si>
  <si>
    <t>80,18%</t>
  </si>
  <si>
    <t>8,7381130</t>
  </si>
  <si>
    <t>458,04</t>
  </si>
  <si>
    <t>4.002,41</t>
  </si>
  <si>
    <t>80,62%</t>
  </si>
  <si>
    <t>63,2172625</t>
  </si>
  <si>
    <t>61,02</t>
  </si>
  <si>
    <t>3.857,52</t>
  </si>
  <si>
    <t>0,43%</t>
  </si>
  <si>
    <t>81,06%</t>
  </si>
  <si>
    <t>157,3000000</t>
  </si>
  <si>
    <t>3.762,62</t>
  </si>
  <si>
    <t>0,42%</t>
  </si>
  <si>
    <t>81,47%</t>
  </si>
  <si>
    <t>459,0000000</t>
  </si>
  <si>
    <t>7,84</t>
  </si>
  <si>
    <t>3.598,56</t>
  </si>
  <si>
    <t>0,40%</t>
  </si>
  <si>
    <t>81,88%</t>
  </si>
  <si>
    <t>3,0000000</t>
  </si>
  <si>
    <t>1.192,83</t>
  </si>
  <si>
    <t>3.578,49</t>
  </si>
  <si>
    <t>82,28%</t>
  </si>
  <si>
    <t>73,8841250</t>
  </si>
  <si>
    <t>47,76</t>
  </si>
  <si>
    <t>3.528,71</t>
  </si>
  <si>
    <t>0,39%</t>
  </si>
  <si>
    <t>82,67%</t>
  </si>
  <si>
    <t>5,8710000</t>
  </si>
  <si>
    <t>596,42</t>
  </si>
  <si>
    <t>3.501,58</t>
  </si>
  <si>
    <t>83,06%</t>
  </si>
  <si>
    <t>240,0000000</t>
  </si>
  <si>
    <t>14,44</t>
  </si>
  <si>
    <t>3.465,60</t>
  </si>
  <si>
    <t>83,45%</t>
  </si>
  <si>
    <t>144,4248000</t>
  </si>
  <si>
    <t>3.454,64</t>
  </si>
  <si>
    <t>83,83%</t>
  </si>
  <si>
    <t>100,1700000</t>
  </si>
  <si>
    <t>33,73</t>
  </si>
  <si>
    <t>3.378,73</t>
  </si>
  <si>
    <t>0,38%</t>
  </si>
  <si>
    <t>84,21%</t>
  </si>
  <si>
    <t>164,0000000</t>
  </si>
  <si>
    <t>20,43</t>
  </si>
  <si>
    <t>3.350,52</t>
  </si>
  <si>
    <t>0,37%</t>
  </si>
  <si>
    <t>84,58%</t>
  </si>
  <si>
    <t>30,9960000</t>
  </si>
  <si>
    <t>102,92</t>
  </si>
  <si>
    <t>3.190,11</t>
  </si>
  <si>
    <t>0,36%</t>
  </si>
  <si>
    <t>84,94%</t>
  </si>
  <si>
    <t>8,0000000</t>
  </si>
  <si>
    <t>389,64</t>
  </si>
  <si>
    <t>3.117,12</t>
  </si>
  <si>
    <t>0,35%</t>
  </si>
  <si>
    <t>85,29%</t>
  </si>
  <si>
    <t>2.930,33</t>
  </si>
  <si>
    <t>0,33%</t>
  </si>
  <si>
    <t>85,61%</t>
  </si>
  <si>
    <t>1,7200000</t>
  </si>
  <si>
    <t>1.697,42</t>
  </si>
  <si>
    <t>2.919,56</t>
  </si>
  <si>
    <t>85,94%</t>
  </si>
  <si>
    <t>7,0000000</t>
  </si>
  <si>
    <t>412,22</t>
  </si>
  <si>
    <t>2.885,54</t>
  </si>
  <si>
    <t>0,32%</t>
  </si>
  <si>
    <t>86,26%</t>
  </si>
  <si>
    <t>1,9000000</t>
  </si>
  <si>
    <t>1.453,46</t>
  </si>
  <si>
    <t>2.761,57</t>
  </si>
  <si>
    <t>0,31%</t>
  </si>
  <si>
    <t>86,57%</t>
  </si>
  <si>
    <t>13,7597100</t>
  </si>
  <si>
    <t>189,66</t>
  </si>
  <si>
    <t>2.609,67</t>
  </si>
  <si>
    <t>0,29%</t>
  </si>
  <si>
    <t>86,86%</t>
  </si>
  <si>
    <t>2,8074000</t>
  </si>
  <si>
    <t>928,19</t>
  </si>
  <si>
    <t>2.605,80</t>
  </si>
  <si>
    <t>87,15%</t>
  </si>
  <si>
    <t>44,9482600</t>
  </si>
  <si>
    <t>57,91</t>
  </si>
  <si>
    <t>2.602,95</t>
  </si>
  <si>
    <t>87,44%</t>
  </si>
  <si>
    <t>2.563,51</t>
  </si>
  <si>
    <t>87,73%</t>
  </si>
  <si>
    <t xml:space="preserve"> 00006111 </t>
  </si>
  <si>
    <t>SERVENTE DE OBRAS</t>
  </si>
  <si>
    <t>103,4249562</t>
  </si>
  <si>
    <t>23,59</t>
  </si>
  <si>
    <t>2.439,79</t>
  </si>
  <si>
    <t>0,27%</t>
  </si>
  <si>
    <t>88,00%</t>
  </si>
  <si>
    <t>14,4900000</t>
  </si>
  <si>
    <t>166,38</t>
  </si>
  <si>
    <t>2.410,85</t>
  </si>
  <si>
    <t>88,27%</t>
  </si>
  <si>
    <t>58,9300000</t>
  </si>
  <si>
    <t>40,83</t>
  </si>
  <si>
    <t>2.406,11</t>
  </si>
  <si>
    <t>88,54%</t>
  </si>
  <si>
    <t>2,0000000</t>
  </si>
  <si>
    <t>1.193,04</t>
  </si>
  <si>
    <t>2.386,08</t>
  </si>
  <si>
    <t>88,80%</t>
  </si>
  <si>
    <t>2,4000000</t>
  </si>
  <si>
    <t>984,46</t>
  </si>
  <si>
    <t>2.362,70</t>
  </si>
  <si>
    <t>0,26%</t>
  </si>
  <si>
    <t>89,07%</t>
  </si>
  <si>
    <t>6,0976080</t>
  </si>
  <si>
    <t>372,47</t>
  </si>
  <si>
    <t>2.271,18</t>
  </si>
  <si>
    <t>0,25%</t>
  </si>
  <si>
    <t>89,32%</t>
  </si>
  <si>
    <t>17,6900000</t>
  </si>
  <si>
    <t>125,81</t>
  </si>
  <si>
    <t>2.225,58</t>
  </si>
  <si>
    <t>89,57%</t>
  </si>
  <si>
    <t>72,2124000</t>
  </si>
  <si>
    <t>2.102,83</t>
  </si>
  <si>
    <t>0,23%</t>
  </si>
  <si>
    <t>89,80%</t>
  </si>
  <si>
    <t>19,9500000</t>
  </si>
  <si>
    <t>104,88</t>
  </si>
  <si>
    <t>2.092,36</t>
  </si>
  <si>
    <t>90,03%</t>
  </si>
  <si>
    <t>9,4500000</t>
  </si>
  <si>
    <t>2.041,48</t>
  </si>
  <si>
    <t>90,26%</t>
  </si>
  <si>
    <t>1.754,3812640</t>
  </si>
  <si>
    <t>1,13</t>
  </si>
  <si>
    <t>1.982,45</t>
  </si>
  <si>
    <t>0,22%</t>
  </si>
  <si>
    <t>90,48%</t>
  </si>
  <si>
    <t>185,1300000</t>
  </si>
  <si>
    <t>10,65</t>
  </si>
  <si>
    <t>1.971,63</t>
  </si>
  <si>
    <t>90,70%</t>
  </si>
  <si>
    <t>30,6000000</t>
  </si>
  <si>
    <t>62,51</t>
  </si>
  <si>
    <t>1.912,81</t>
  </si>
  <si>
    <t>0,21%</t>
  </si>
  <si>
    <t>90,92%</t>
  </si>
  <si>
    <t xml:space="preserve"> 00037370 </t>
  </si>
  <si>
    <t>ALIMENTACAO - HORISTA (COLETADO CAIXA)</t>
  </si>
  <si>
    <t>Outros</t>
  </si>
  <si>
    <t>336,2065887</t>
  </si>
  <si>
    <t>5,57</t>
  </si>
  <si>
    <t>1.872,67</t>
  </si>
  <si>
    <t>91,13%</t>
  </si>
  <si>
    <t>23,0000000</t>
  </si>
  <si>
    <t>80,37</t>
  </si>
  <si>
    <t>1.848,51</t>
  </si>
  <si>
    <t>91,33%</t>
  </si>
  <si>
    <t>255,0000000</t>
  </si>
  <si>
    <t>6,93</t>
  </si>
  <si>
    <t>1.767,15</t>
  </si>
  <si>
    <t>0,20%</t>
  </si>
  <si>
    <t>91,53%</t>
  </si>
  <si>
    <t>144,0000000</t>
  </si>
  <si>
    <t>11,56</t>
  </si>
  <si>
    <t>1.664,64</t>
  </si>
  <si>
    <t>0,19%</t>
  </si>
  <si>
    <t>91,71%</t>
  </si>
  <si>
    <t>15,3000000</t>
  </si>
  <si>
    <t>99,30</t>
  </si>
  <si>
    <t>1.519,29</t>
  </si>
  <si>
    <t>0,17%</t>
  </si>
  <si>
    <t>91,88%</t>
  </si>
  <si>
    <t xml:space="preserve"> 00004750 </t>
  </si>
  <si>
    <t>52,3173714</t>
  </si>
  <si>
    <t>28,36</t>
  </si>
  <si>
    <t>1.483,72</t>
  </si>
  <si>
    <t>92,05%</t>
  </si>
  <si>
    <t>51,0300000</t>
  </si>
  <si>
    <t>27,71</t>
  </si>
  <si>
    <t>1.414,04</t>
  </si>
  <si>
    <t>0,16%</t>
  </si>
  <si>
    <t>92,21%</t>
  </si>
  <si>
    <t>2,9567200</t>
  </si>
  <si>
    <t>475,52</t>
  </si>
  <si>
    <t>1.405,98</t>
  </si>
  <si>
    <t>92,36%</t>
  </si>
  <si>
    <t>25,5000000</t>
  </si>
  <si>
    <t>54,15</t>
  </si>
  <si>
    <t>1.380,83</t>
  </si>
  <si>
    <t>0,15%</t>
  </si>
  <si>
    <t>92,52%</t>
  </si>
  <si>
    <t>6,0000000</t>
  </si>
  <si>
    <t>229,29</t>
  </si>
  <si>
    <t>1.375,74</t>
  </si>
  <si>
    <t>92,67%</t>
  </si>
  <si>
    <t>7,2450000</t>
  </si>
  <si>
    <t>186,66</t>
  </si>
  <si>
    <t>1.352,35</t>
  </si>
  <si>
    <t>92,82%</t>
  </si>
  <si>
    <t>5,3139000</t>
  </si>
  <si>
    <t>252,31</t>
  </si>
  <si>
    <t>1.340,75</t>
  </si>
  <si>
    <t>92,97%</t>
  </si>
  <si>
    <t>133,9099400</t>
  </si>
  <si>
    <t>9,77</t>
  </si>
  <si>
    <t>1.308,30</t>
  </si>
  <si>
    <t>93,12%</t>
  </si>
  <si>
    <t>36,6095300</t>
  </si>
  <si>
    <t>35,50</t>
  </si>
  <si>
    <t>1.299,64</t>
  </si>
  <si>
    <t>0,14%</t>
  </si>
  <si>
    <t>93,26%</t>
  </si>
  <si>
    <t>308,4300000</t>
  </si>
  <si>
    <t>4,19</t>
  </si>
  <si>
    <t>1.292,32</t>
  </si>
  <si>
    <t>93,41%</t>
  </si>
  <si>
    <t>97,5500000</t>
  </si>
  <si>
    <t>13,21</t>
  </si>
  <si>
    <t>1.288,64</t>
  </si>
  <si>
    <t>93,55%</t>
  </si>
  <si>
    <t>4,4846740</t>
  </si>
  <si>
    <t>284,08</t>
  </si>
  <si>
    <t>1.274,01</t>
  </si>
  <si>
    <t>93,69%</t>
  </si>
  <si>
    <t>25,7300000</t>
  </si>
  <si>
    <t>47,88</t>
  </si>
  <si>
    <t>1.231,95</t>
  </si>
  <si>
    <t>93,83%</t>
  </si>
  <si>
    <t>587,97</t>
  </si>
  <si>
    <t>1.175,94</t>
  </si>
  <si>
    <t>0,13%</t>
  </si>
  <si>
    <t>93,96%</t>
  </si>
  <si>
    <t>4,9070000</t>
  </si>
  <si>
    <t>238,48</t>
  </si>
  <si>
    <t>1.170,22</t>
  </si>
  <si>
    <t>94,09%</t>
  </si>
  <si>
    <t>1.138,22</t>
  </si>
  <si>
    <t>94,22%</t>
  </si>
  <si>
    <t>97,5000000</t>
  </si>
  <si>
    <t>11,67</t>
  </si>
  <si>
    <t>1.137,83</t>
  </si>
  <si>
    <t>94,35%</t>
  </si>
  <si>
    <t>35,4650000</t>
  </si>
  <si>
    <t>31,66</t>
  </si>
  <si>
    <t>1.122,82</t>
  </si>
  <si>
    <t>94,47%</t>
  </si>
  <si>
    <t>17,6295000</t>
  </si>
  <si>
    <t>63,07</t>
  </si>
  <si>
    <t>1.111,89</t>
  </si>
  <si>
    <t>0,12%</t>
  </si>
  <si>
    <t>94,60%</t>
  </si>
  <si>
    <t>4,0000000</t>
  </si>
  <si>
    <t>276,96</t>
  </si>
  <si>
    <t>1.107,84</t>
  </si>
  <si>
    <t>94,72%</t>
  </si>
  <si>
    <t>1.087,12</t>
  </si>
  <si>
    <t>94,84%</t>
  </si>
  <si>
    <t>20,5840000</t>
  </si>
  <si>
    <t>50,40</t>
  </si>
  <si>
    <t>1.037,43</t>
  </si>
  <si>
    <t>94,96%</t>
  </si>
  <si>
    <t>56,5728000</t>
  </si>
  <si>
    <t>17,86</t>
  </si>
  <si>
    <t>1.010,39</t>
  </si>
  <si>
    <t>0,11%</t>
  </si>
  <si>
    <t>95,07%</t>
  </si>
  <si>
    <t>26,1000000</t>
  </si>
  <si>
    <t>38,05</t>
  </si>
  <si>
    <t>993,11</t>
  </si>
  <si>
    <t>95,18%</t>
  </si>
  <si>
    <t>65,3299400</t>
  </si>
  <si>
    <t>14,99</t>
  </si>
  <si>
    <t>979,30</t>
  </si>
  <si>
    <t>95,29%</t>
  </si>
  <si>
    <t>65,6000000</t>
  </si>
  <si>
    <t>14,71</t>
  </si>
  <si>
    <t>964,98</t>
  </si>
  <si>
    <t>95,40%</t>
  </si>
  <si>
    <t>45,9000000</t>
  </si>
  <si>
    <t>20,68</t>
  </si>
  <si>
    <t>949,21</t>
  </si>
  <si>
    <t>95,50%</t>
  </si>
  <si>
    <t>7,2000000</t>
  </si>
  <si>
    <t>129,63</t>
  </si>
  <si>
    <t>933,34</t>
  </si>
  <si>
    <t>0,10%</t>
  </si>
  <si>
    <t>95,61%</t>
  </si>
  <si>
    <t>26,00</t>
  </si>
  <si>
    <t>922,09</t>
  </si>
  <si>
    <t>95,71%</t>
  </si>
  <si>
    <t>52,2139500</t>
  </si>
  <si>
    <t>17,64</t>
  </si>
  <si>
    <t>921,05</t>
  </si>
  <si>
    <t>95,81%</t>
  </si>
  <si>
    <t>908,15</t>
  </si>
  <si>
    <t>95,91%</t>
  </si>
  <si>
    <t>46,0000000</t>
  </si>
  <si>
    <t>19,55</t>
  </si>
  <si>
    <t>899,30</t>
  </si>
  <si>
    <t>96,01%</t>
  </si>
  <si>
    <t>84,6000000</t>
  </si>
  <si>
    <t>9,85</t>
  </si>
  <si>
    <t>833,31</t>
  </si>
  <si>
    <t>0,09%</t>
  </si>
  <si>
    <t>96,11%</t>
  </si>
  <si>
    <t>797,29</t>
  </si>
  <si>
    <t>96,20%</t>
  </si>
  <si>
    <t>12,3800000</t>
  </si>
  <si>
    <t>64,25</t>
  </si>
  <si>
    <t>795,42</t>
  </si>
  <si>
    <t>96,28%</t>
  </si>
  <si>
    <t>768,95</t>
  </si>
  <si>
    <t>96,37%</t>
  </si>
  <si>
    <t>0,6633000</t>
  </si>
  <si>
    <t>1.125,60</t>
  </si>
  <si>
    <t>746,61</t>
  </si>
  <si>
    <t>0,08%</t>
  </si>
  <si>
    <t>96,45%</t>
  </si>
  <si>
    <t>392,69</t>
  </si>
  <si>
    <t>746,11</t>
  </si>
  <si>
    <t>96,54%</t>
  </si>
  <si>
    <t>25,0000000</t>
  </si>
  <si>
    <t>29,38</t>
  </si>
  <si>
    <t>734,50</t>
  </si>
  <si>
    <t>96,62%</t>
  </si>
  <si>
    <t>5,0000000</t>
  </si>
  <si>
    <t>145,88</t>
  </si>
  <si>
    <t>729,40</t>
  </si>
  <si>
    <t>96,70%</t>
  </si>
  <si>
    <t>1,8659380</t>
  </si>
  <si>
    <t>387,69</t>
  </si>
  <si>
    <t>723,41</t>
  </si>
  <si>
    <t>96,78%</t>
  </si>
  <si>
    <t>714,47</t>
  </si>
  <si>
    <t>96,86%</t>
  </si>
  <si>
    <t>11,8000000</t>
  </si>
  <si>
    <t>60,03</t>
  </si>
  <si>
    <t>708,35</t>
  </si>
  <si>
    <t>96,94%</t>
  </si>
  <si>
    <t>24,1000000</t>
  </si>
  <si>
    <t>28,62</t>
  </si>
  <si>
    <t>689,74</t>
  </si>
  <si>
    <t>97,02%</t>
  </si>
  <si>
    <t>342,09</t>
  </si>
  <si>
    <t>684,18</t>
  </si>
  <si>
    <t>97,09%</t>
  </si>
  <si>
    <t>2,7600000</t>
  </si>
  <si>
    <t>246,66</t>
  </si>
  <si>
    <t>680,78</t>
  </si>
  <si>
    <t>97,17%</t>
  </si>
  <si>
    <t>4,5000000</t>
  </si>
  <si>
    <t>148,82</t>
  </si>
  <si>
    <t>669,69</t>
  </si>
  <si>
    <t>0,07%</t>
  </si>
  <si>
    <t>97,24%</t>
  </si>
  <si>
    <t>204,0000000</t>
  </si>
  <si>
    <t>3,25</t>
  </si>
  <si>
    <t>663,00</t>
  </si>
  <si>
    <t>97,32%</t>
  </si>
  <si>
    <t xml:space="preserve"> 00037372 </t>
  </si>
  <si>
    <t>EXAMES - HORISTA (COLETADO CAIXA)</t>
  </si>
  <si>
    <t>1,84</t>
  </si>
  <si>
    <t>618,62</t>
  </si>
  <si>
    <t>97,39%</t>
  </si>
  <si>
    <t>203,98</t>
  </si>
  <si>
    <t>611,94</t>
  </si>
  <si>
    <t>97,45%</t>
  </si>
  <si>
    <t xml:space="preserve"> 00000242 </t>
  </si>
  <si>
    <t>AJUDANTE ESPECIALIZADO</t>
  </si>
  <si>
    <t>24,2139411</t>
  </si>
  <si>
    <t>25,26</t>
  </si>
  <si>
    <t>611,64</t>
  </si>
  <si>
    <t>97,52%</t>
  </si>
  <si>
    <t>30,0000000</t>
  </si>
  <si>
    <t>20,37</t>
  </si>
  <si>
    <t>611,10</t>
  </si>
  <si>
    <t>97,59%</t>
  </si>
  <si>
    <t>17,5020000</t>
  </si>
  <si>
    <t>554,11</t>
  </si>
  <si>
    <t>0,06%</t>
  </si>
  <si>
    <t>97,65%</t>
  </si>
  <si>
    <t>547,79</t>
  </si>
  <si>
    <t>97,71%</t>
  </si>
  <si>
    <t>102,0000000</t>
  </si>
  <si>
    <t>5,30</t>
  </si>
  <si>
    <t>540,60</t>
  </si>
  <si>
    <t>97,77%</t>
  </si>
  <si>
    <t>28,9915400</t>
  </si>
  <si>
    <t>18,16</t>
  </si>
  <si>
    <t>526,49</t>
  </si>
  <si>
    <t>97,83%</t>
  </si>
  <si>
    <t>4,6600000</t>
  </si>
  <si>
    <t>107,12</t>
  </si>
  <si>
    <t>499,18</t>
  </si>
  <si>
    <t>97,89%</t>
  </si>
  <si>
    <t>244,32</t>
  </si>
  <si>
    <t>488,64</t>
  </si>
  <si>
    <t>0,05%</t>
  </si>
  <si>
    <t>97,94%</t>
  </si>
  <si>
    <t>26,0000000</t>
  </si>
  <si>
    <t>18,67</t>
  </si>
  <si>
    <t>485,42</t>
  </si>
  <si>
    <t>98,00%</t>
  </si>
  <si>
    <t>46,6875000</t>
  </si>
  <si>
    <t>10,38</t>
  </si>
  <si>
    <t>484,62</t>
  </si>
  <si>
    <t>98,05%</t>
  </si>
  <si>
    <t>461,45</t>
  </si>
  <si>
    <t>98,10%</t>
  </si>
  <si>
    <t>2,0329300</t>
  </si>
  <si>
    <t>226,85</t>
  </si>
  <si>
    <t>461,17</t>
  </si>
  <si>
    <t>98,15%</t>
  </si>
  <si>
    <t>1,49</t>
  </si>
  <si>
    <t>459,56</t>
  </si>
  <si>
    <t>98,20%</t>
  </si>
  <si>
    <t>455,05</t>
  </si>
  <si>
    <t>98,26%</t>
  </si>
  <si>
    <t>4,4241790</t>
  </si>
  <si>
    <t>100,47</t>
  </si>
  <si>
    <t>444,50</t>
  </si>
  <si>
    <t>98,30%</t>
  </si>
  <si>
    <t xml:space="preserve"> 00037371 </t>
  </si>
  <si>
    <t>TRANSPORTE - HORISTA (COLETADO CAIXA)</t>
  </si>
  <si>
    <t>Serviços</t>
  </si>
  <si>
    <t>1,30</t>
  </si>
  <si>
    <t>437,07</t>
  </si>
  <si>
    <t>98,35%</t>
  </si>
  <si>
    <t>0,3600000</t>
  </si>
  <si>
    <t>1.189,06</t>
  </si>
  <si>
    <t>428,06</t>
  </si>
  <si>
    <t>98,40%</t>
  </si>
  <si>
    <t>14,4000000</t>
  </si>
  <si>
    <t>419,33</t>
  </si>
  <si>
    <t>98,45%</t>
  </si>
  <si>
    <t>398,53</t>
  </si>
  <si>
    <t>0,04%</t>
  </si>
  <si>
    <t>98,49%</t>
  </si>
  <si>
    <t>10,0000000</t>
  </si>
  <si>
    <t>39,71</t>
  </si>
  <si>
    <t>397,10</t>
  </si>
  <si>
    <t>98,54%</t>
  </si>
  <si>
    <t>4,2300000</t>
  </si>
  <si>
    <t>91,07</t>
  </si>
  <si>
    <t>385,23</t>
  </si>
  <si>
    <t>98,58%</t>
  </si>
  <si>
    <t xml:space="preserve"> 00001379 </t>
  </si>
  <si>
    <t>CIMENTO PORTLAND COMPOSTO CP II-32</t>
  </si>
  <si>
    <t>513,2705285</t>
  </si>
  <si>
    <t>0,74</t>
  </si>
  <si>
    <t>379,82</t>
  </si>
  <si>
    <t>98,62%</t>
  </si>
  <si>
    <t>7,8000000</t>
  </si>
  <si>
    <t>48,32</t>
  </si>
  <si>
    <t>376,90</t>
  </si>
  <si>
    <t>98,66%</t>
  </si>
  <si>
    <t>368,60</t>
  </si>
  <si>
    <t>98,71%</t>
  </si>
  <si>
    <t>367,40</t>
  </si>
  <si>
    <t>98,75%</t>
  </si>
  <si>
    <t>45,20</t>
  </si>
  <si>
    <t>361,60</t>
  </si>
  <si>
    <t>98,79%</t>
  </si>
  <si>
    <t>13,48</t>
  </si>
  <si>
    <t>337,00</t>
  </si>
  <si>
    <t>98,82%</t>
  </si>
  <si>
    <t>16,0000000</t>
  </si>
  <si>
    <t>21,06</t>
  </si>
  <si>
    <t>336,96</t>
  </si>
  <si>
    <t>98,86%</t>
  </si>
  <si>
    <t xml:space="preserve"> 00043489 </t>
  </si>
  <si>
    <t>EPI - FAMILIA PEDREIRO - HORISTA (ENCARGOS COMPLEMENTARES - COLETADO CAIXA)</t>
  </si>
  <si>
    <t>196,8632684</t>
  </si>
  <si>
    <t>1,68</t>
  </si>
  <si>
    <t>330,73</t>
  </si>
  <si>
    <t>98,90%</t>
  </si>
  <si>
    <t>1,4000000</t>
  </si>
  <si>
    <t>235,86</t>
  </si>
  <si>
    <t>330,20</t>
  </si>
  <si>
    <t>98,94%</t>
  </si>
  <si>
    <t>0,5300000</t>
  </si>
  <si>
    <t>621,18</t>
  </si>
  <si>
    <t>329,23</t>
  </si>
  <si>
    <t>98,97%</t>
  </si>
  <si>
    <t>153,0000000</t>
  </si>
  <si>
    <t>2,15</t>
  </si>
  <si>
    <t>328,95</t>
  </si>
  <si>
    <t>99,01%</t>
  </si>
  <si>
    <t>1,7271000</t>
  </si>
  <si>
    <t>187,63</t>
  </si>
  <si>
    <t>324,06</t>
  </si>
  <si>
    <t>99,05%</t>
  </si>
  <si>
    <t>323,17</t>
  </si>
  <si>
    <t>99,08%</t>
  </si>
  <si>
    <t>5,4810000</t>
  </si>
  <si>
    <t>58,03</t>
  </si>
  <si>
    <t>318,06</t>
  </si>
  <si>
    <t>99,12%</t>
  </si>
  <si>
    <t>143,5000000</t>
  </si>
  <si>
    <t>308,53</t>
  </si>
  <si>
    <t>0,03%</t>
  </si>
  <si>
    <t>99,15%</t>
  </si>
  <si>
    <t>301,54</t>
  </si>
  <si>
    <t>99,18%</t>
  </si>
  <si>
    <t>149,48</t>
  </si>
  <si>
    <t>298,96</t>
  </si>
  <si>
    <t>99,22%</t>
  </si>
  <si>
    <t>89,2500000</t>
  </si>
  <si>
    <t>2,88</t>
  </si>
  <si>
    <t>257,04</t>
  </si>
  <si>
    <t>99,25%</t>
  </si>
  <si>
    <t>5,25</t>
  </si>
  <si>
    <t>241,50</t>
  </si>
  <si>
    <t>99,27%</t>
  </si>
  <si>
    <t>234,95</t>
  </si>
  <si>
    <t>99,30%</t>
  </si>
  <si>
    <t>13,3900000</t>
  </si>
  <si>
    <t>17,53</t>
  </si>
  <si>
    <t>234,73</t>
  </si>
  <si>
    <t>99,33%</t>
  </si>
  <si>
    <t xml:space="preserve"> 00043491 </t>
  </si>
  <si>
    <t>EPI - FAMILIA SERVENTE - HORISTA (ENCARGOS COMPLEMENTARES - COLETADO CAIXA)</t>
  </si>
  <si>
    <t>125,2155654</t>
  </si>
  <si>
    <t>1,79</t>
  </si>
  <si>
    <t>224,14</t>
  </si>
  <si>
    <t>99,35%</t>
  </si>
  <si>
    <t>37,25</t>
  </si>
  <si>
    <t>223,50</t>
  </si>
  <si>
    <t>0,02%</t>
  </si>
  <si>
    <t>99,38%</t>
  </si>
  <si>
    <t>45,0000000</t>
  </si>
  <si>
    <t>4,93</t>
  </si>
  <si>
    <t>221,85</t>
  </si>
  <si>
    <t>99,40%</t>
  </si>
  <si>
    <t>0,9450000</t>
  </si>
  <si>
    <t>204,15</t>
  </si>
  <si>
    <t>99,42%</t>
  </si>
  <si>
    <t xml:space="preserve"> 00043465 </t>
  </si>
  <si>
    <t>FERRAMENTAS - FAMILIA PEDREIRO - HORISTA (ENCARGOS COMPLEMENTARES - COLETADO CAIXA)</t>
  </si>
  <si>
    <t>1,00</t>
  </si>
  <si>
    <t>196,86</t>
  </si>
  <si>
    <t>99,45%</t>
  </si>
  <si>
    <t>97,16</t>
  </si>
  <si>
    <t>194,32</t>
  </si>
  <si>
    <t>99,47%</t>
  </si>
  <si>
    <t xml:space="preserve"> 00013836 </t>
  </si>
  <si>
    <t>MAQUINA EXTRUSORA DE CONCRETO PARA GUIAS E SARJETAS, COM MOTOR A DIESEL DE 14 CV</t>
  </si>
  <si>
    <t>0,0021642</t>
  </si>
  <si>
    <t>88.898,46</t>
  </si>
  <si>
    <t>192,39</t>
  </si>
  <si>
    <t>99,49%</t>
  </si>
  <si>
    <t>94,87</t>
  </si>
  <si>
    <t>189,74</t>
  </si>
  <si>
    <t>99,51%</t>
  </si>
  <si>
    <t>6,3820000</t>
  </si>
  <si>
    <t>27,91</t>
  </si>
  <si>
    <t>178,12</t>
  </si>
  <si>
    <t>99,53%</t>
  </si>
  <si>
    <t>9,5511360</t>
  </si>
  <si>
    <t>17,13</t>
  </si>
  <si>
    <t>163,61</t>
  </si>
  <si>
    <t>99,55%</t>
  </si>
  <si>
    <t>0,2400000</t>
  </si>
  <si>
    <t>664,71</t>
  </si>
  <si>
    <t>159,53</t>
  </si>
  <si>
    <t>99,57%</t>
  </si>
  <si>
    <t xml:space="preserve"> 00002696 </t>
  </si>
  <si>
    <t>ENCANADOR OU BOMBEIRO HIDRAULICO</t>
  </si>
  <si>
    <t>4,4785012</t>
  </si>
  <si>
    <t>33,75</t>
  </si>
  <si>
    <t>151,15</t>
  </si>
  <si>
    <t>99,58%</t>
  </si>
  <si>
    <t>7,6000000</t>
  </si>
  <si>
    <t>18,26</t>
  </si>
  <si>
    <t>138,78</t>
  </si>
  <si>
    <t>99,60%</t>
  </si>
  <si>
    <t>68,36</t>
  </si>
  <si>
    <t>136,72</t>
  </si>
  <si>
    <t>99,61%</t>
  </si>
  <si>
    <t>126,52</t>
  </si>
  <si>
    <t>0,01%</t>
  </si>
  <si>
    <t>99,63%</t>
  </si>
  <si>
    <t>3,4950000</t>
  </si>
  <si>
    <t>121,91</t>
  </si>
  <si>
    <t>99,64%</t>
  </si>
  <si>
    <t>6,99</t>
  </si>
  <si>
    <t>111,84</t>
  </si>
  <si>
    <t>99,65%</t>
  </si>
  <si>
    <t xml:space="preserve"> 00000246 </t>
  </si>
  <si>
    <t>AUXILIAR DE ENCANADOR OU BOMBEIRO HIDRAULICO</t>
  </si>
  <si>
    <t>4,1566159</t>
  </si>
  <si>
    <t>26,27</t>
  </si>
  <si>
    <t>109,19</t>
  </si>
  <si>
    <t>99,67%</t>
  </si>
  <si>
    <t>1,7885000</t>
  </si>
  <si>
    <t>60,50</t>
  </si>
  <si>
    <t>108,20</t>
  </si>
  <si>
    <t>99,68%</t>
  </si>
  <si>
    <t>3,0964080</t>
  </si>
  <si>
    <t>108,00</t>
  </si>
  <si>
    <t>99,69%</t>
  </si>
  <si>
    <t>37,5740000</t>
  </si>
  <si>
    <t>2,62</t>
  </si>
  <si>
    <t>98,44</t>
  </si>
  <si>
    <t>99,70%</t>
  </si>
  <si>
    <t xml:space="preserve"> 00043467 </t>
  </si>
  <si>
    <t>FERRAMENTAS - FAMILIA SERVENTE - HORISTA (ENCARGOS COMPLEMENTARES - COLETADO CAIXA)</t>
  </si>
  <si>
    <t>0,78</t>
  </si>
  <si>
    <t>97,67</t>
  </si>
  <si>
    <t>99,71%</t>
  </si>
  <si>
    <t>3,69</t>
  </si>
  <si>
    <t>95,94</t>
  </si>
  <si>
    <t>99,72%</t>
  </si>
  <si>
    <t>88,64</t>
  </si>
  <si>
    <t>99,73%</t>
  </si>
  <si>
    <t>16,8784000</t>
  </si>
  <si>
    <t>5,13</t>
  </si>
  <si>
    <t>86,59</t>
  </si>
  <si>
    <t>99,74%</t>
  </si>
  <si>
    <t>28,72</t>
  </si>
  <si>
    <t>86,16</t>
  </si>
  <si>
    <t>99,75%</t>
  </si>
  <si>
    <t>84,23</t>
  </si>
  <si>
    <t>99,76%</t>
  </si>
  <si>
    <t>3,0664800</t>
  </si>
  <si>
    <t>26,84</t>
  </si>
  <si>
    <t>82,30</t>
  </si>
  <si>
    <t>99,77%</t>
  </si>
  <si>
    <t>26,2500000</t>
  </si>
  <si>
    <t>3,09</t>
  </si>
  <si>
    <t>81,11</t>
  </si>
  <si>
    <t>99,78%</t>
  </si>
  <si>
    <t>15,41</t>
  </si>
  <si>
    <t>77,05</t>
  </si>
  <si>
    <t>99,79%</t>
  </si>
  <si>
    <t>2,3209800</t>
  </si>
  <si>
    <t>32,68</t>
  </si>
  <si>
    <t>75,85</t>
  </si>
  <si>
    <t>99,80%</t>
  </si>
  <si>
    <t>186,6068750</t>
  </si>
  <si>
    <t>0,39</t>
  </si>
  <si>
    <t>72,78</t>
  </si>
  <si>
    <t>70,72</t>
  </si>
  <si>
    <t>99,81%</t>
  </si>
  <si>
    <t>34,48</t>
  </si>
  <si>
    <t>68,96</t>
  </si>
  <si>
    <t>99,82%</t>
  </si>
  <si>
    <t xml:space="preserve"> 00037666 </t>
  </si>
  <si>
    <t>OPERADOR DE BETONEIRA ESTACIONARIA / MISTURADOR</t>
  </si>
  <si>
    <t>2,8199935</t>
  </si>
  <si>
    <t>23,94</t>
  </si>
  <si>
    <t>67,51</t>
  </si>
  <si>
    <t>99,83%</t>
  </si>
  <si>
    <t>7,0096000</t>
  </si>
  <si>
    <t>9,57</t>
  </si>
  <si>
    <t>67,08</t>
  </si>
  <si>
    <t>99,84%</t>
  </si>
  <si>
    <t>70,7160000</t>
  </si>
  <si>
    <t>0,92</t>
  </si>
  <si>
    <t>65,06</t>
  </si>
  <si>
    <t>30,34</t>
  </si>
  <si>
    <t>60,68</t>
  </si>
  <si>
    <t>99,85%</t>
  </si>
  <si>
    <t>6,0270000</t>
  </si>
  <si>
    <t>9,59</t>
  </si>
  <si>
    <t>57,80</t>
  </si>
  <si>
    <t>99,86%</t>
  </si>
  <si>
    <t>28,53</t>
  </si>
  <si>
    <t>57,06</t>
  </si>
  <si>
    <t>19,00</t>
  </si>
  <si>
    <t>57,00</t>
  </si>
  <si>
    <t>99,87%</t>
  </si>
  <si>
    <t>53,24</t>
  </si>
  <si>
    <t>846,0000000</t>
  </si>
  <si>
    <t>0,06</t>
  </si>
  <si>
    <t>50,76</t>
  </si>
  <si>
    <t>99,88%</t>
  </si>
  <si>
    <t xml:space="preserve"> 00004221 </t>
  </si>
  <si>
    <t>OLEO DIESEL COMBUSTIVEL COMUM</t>
  </si>
  <si>
    <t>6,1767500</t>
  </si>
  <si>
    <t>8,15</t>
  </si>
  <si>
    <t>50,34</t>
  </si>
  <si>
    <t>99,89%</t>
  </si>
  <si>
    <t>49,00</t>
  </si>
  <si>
    <t>0,8870900</t>
  </si>
  <si>
    <t>47,23</t>
  </si>
  <si>
    <t>99,90%</t>
  </si>
  <si>
    <t>0,4755000</t>
  </si>
  <si>
    <t>92,17</t>
  </si>
  <si>
    <t>43,83</t>
  </si>
  <si>
    <t>0,00%</t>
  </si>
  <si>
    <t>43,18</t>
  </si>
  <si>
    <t>99,91%</t>
  </si>
  <si>
    <t>0,6000000</t>
  </si>
  <si>
    <t>68,31</t>
  </si>
  <si>
    <t>40,99</t>
  </si>
  <si>
    <t>2,0562000</t>
  </si>
  <si>
    <t>19,91</t>
  </si>
  <si>
    <t>40,94</t>
  </si>
  <si>
    <t xml:space="preserve"> 00001213 </t>
  </si>
  <si>
    <t>CARPINTEIRO DE FORMAS PARA CONCRETO (HORISTA)</t>
  </si>
  <si>
    <t>1,4251587</t>
  </si>
  <si>
    <t>40,42</t>
  </si>
  <si>
    <t>99,92%</t>
  </si>
  <si>
    <t>4,80</t>
  </si>
  <si>
    <t>38,40</t>
  </si>
  <si>
    <t>2,4046000</t>
  </si>
  <si>
    <t>15,72</t>
  </si>
  <si>
    <t>37,80</t>
  </si>
  <si>
    <t>99,93%</t>
  </si>
  <si>
    <t>37,60</t>
  </si>
  <si>
    <t>17,99</t>
  </si>
  <si>
    <t>35,98</t>
  </si>
  <si>
    <t>99,94%</t>
  </si>
  <si>
    <t>2,8000000</t>
  </si>
  <si>
    <t>12,77</t>
  </si>
  <si>
    <t>35,76</t>
  </si>
  <si>
    <t>1,2349000</t>
  </si>
  <si>
    <t>28,19</t>
  </si>
  <si>
    <t>34,81</t>
  </si>
  <si>
    <t>6,9259380</t>
  </si>
  <si>
    <t>4,95</t>
  </si>
  <si>
    <t>34,28</t>
  </si>
  <si>
    <t>99,95%</t>
  </si>
  <si>
    <t xml:space="preserve"> 00037373 </t>
  </si>
  <si>
    <t>SEGURO - HORISTA (COLETADO CAIXA)</t>
  </si>
  <si>
    <t>Taxas</t>
  </si>
  <si>
    <t>0,10</t>
  </si>
  <si>
    <t>33,62</t>
  </si>
  <si>
    <t xml:space="preserve"> 00006117 </t>
  </si>
  <si>
    <t>CARPINTEIRO AUXILIAR</t>
  </si>
  <si>
    <t>0,9998430</t>
  </si>
  <si>
    <t>0,7875000</t>
  </si>
  <si>
    <t>29,03</t>
  </si>
  <si>
    <t>22,86</t>
  </si>
  <si>
    <t>99,96%</t>
  </si>
  <si>
    <t>0,6941000</t>
  </si>
  <si>
    <t>22,68</t>
  </si>
  <si>
    <t>37,9312500</t>
  </si>
  <si>
    <t>0,59</t>
  </si>
  <si>
    <t>22,38</t>
  </si>
  <si>
    <t>0,3696000</t>
  </si>
  <si>
    <t>52,24</t>
  </si>
  <si>
    <t>19,31</t>
  </si>
  <si>
    <t>99,97%</t>
  </si>
  <si>
    <t>18,57</t>
  </si>
  <si>
    <t>8,91</t>
  </si>
  <si>
    <t>17,82</t>
  </si>
  <si>
    <t>17,60</t>
  </si>
  <si>
    <t>16,60</t>
  </si>
  <si>
    <t>0,6170000</t>
  </si>
  <si>
    <t>16,56</t>
  </si>
  <si>
    <t>99,98%</t>
  </si>
  <si>
    <t>0,6180000</t>
  </si>
  <si>
    <t>24,68</t>
  </si>
  <si>
    <t>15,25</t>
  </si>
  <si>
    <t>0,1995000</t>
  </si>
  <si>
    <t>73,99</t>
  </si>
  <si>
    <t>14,76</t>
  </si>
  <si>
    <t xml:space="preserve"> 00004230 </t>
  </si>
  <si>
    <t>OPERADOR DE MAQUINAS E TRATORES DIVERSOS (TERRAPLANAGEM)</t>
  </si>
  <si>
    <t>0,4594440</t>
  </si>
  <si>
    <t>28,34</t>
  </si>
  <si>
    <t>13,02</t>
  </si>
  <si>
    <t>0,0590800</t>
  </si>
  <si>
    <t>219,10</t>
  </si>
  <si>
    <t>12,94</t>
  </si>
  <si>
    <t>16,6417000</t>
  </si>
  <si>
    <t>12,81</t>
  </si>
  <si>
    <t>15,4000000</t>
  </si>
  <si>
    <t>0,81</t>
  </si>
  <si>
    <t>12,47</t>
  </si>
  <si>
    <t>99,99%</t>
  </si>
  <si>
    <t xml:space="preserve"> 00043485 </t>
  </si>
  <si>
    <t>EPI - FAMILIA ENCANADOR - HORISTA (ENCARGOS COMPLEMENTARES - COLETADO CAIXA)</t>
  </si>
  <si>
    <t>8,4826000</t>
  </si>
  <si>
    <t>1,45</t>
  </si>
  <si>
    <t>12,30</t>
  </si>
  <si>
    <t>1,2826000</t>
  </si>
  <si>
    <t>9,48</t>
  </si>
  <si>
    <t>12,16</t>
  </si>
  <si>
    <t>0,3500000</t>
  </si>
  <si>
    <t>34,00</t>
  </si>
  <si>
    <t>11,90</t>
  </si>
  <si>
    <t>0,2520000</t>
  </si>
  <si>
    <t>46,87</t>
  </si>
  <si>
    <t>11,81</t>
  </si>
  <si>
    <t>0,0123500</t>
  </si>
  <si>
    <t>922,57</t>
  </si>
  <si>
    <t>11,39</t>
  </si>
  <si>
    <t>8,6000000</t>
  </si>
  <si>
    <t>1,32</t>
  </si>
  <si>
    <t>11,35</t>
  </si>
  <si>
    <t>11,19</t>
  </si>
  <si>
    <t>9,5364000</t>
  </si>
  <si>
    <t>10,78</t>
  </si>
  <si>
    <t>100,00%</t>
  </si>
  <si>
    <t xml:space="preserve"> 00010489 </t>
  </si>
  <si>
    <t>VIDRACEIRO</t>
  </si>
  <si>
    <t>0,4383763</t>
  </si>
  <si>
    <t>23,30</t>
  </si>
  <si>
    <t>10,21</t>
  </si>
  <si>
    <t>1,1178000</t>
  </si>
  <si>
    <t>9,09</t>
  </si>
  <si>
    <t>10,16</t>
  </si>
  <si>
    <t>0,3856000</t>
  </si>
  <si>
    <t>22,56</t>
  </si>
  <si>
    <t>8,70</t>
  </si>
  <si>
    <t>8,43</t>
  </si>
  <si>
    <t>3,82</t>
  </si>
  <si>
    <t>7,64</t>
  </si>
  <si>
    <t>0,5150000</t>
  </si>
  <si>
    <t>13,83</t>
  </si>
  <si>
    <t>7,12</t>
  </si>
  <si>
    <t>0,3085000</t>
  </si>
  <si>
    <t>5,51</t>
  </si>
  <si>
    <t>0,1000000</t>
  </si>
  <si>
    <t>52,18</t>
  </si>
  <si>
    <t>5,22</t>
  </si>
  <si>
    <t>0,5830000</t>
  </si>
  <si>
    <t>5,18</t>
  </si>
  <si>
    <t>0,7333300</t>
  </si>
  <si>
    <t>6,19</t>
  </si>
  <si>
    <t>4,54</t>
  </si>
  <si>
    <t xml:space="preserve"> 00043483 </t>
  </si>
  <si>
    <t>EPI - FAMILIA CARPINTEIRO DE FORMAS - HORISTA (ENCARGOS COMPLEMENTARES - COLETADO CAIXA)</t>
  </si>
  <si>
    <t>2,3942000</t>
  </si>
  <si>
    <t>4,41</t>
  </si>
  <si>
    <t>4,39</t>
  </si>
  <si>
    <t>2,13</t>
  </si>
  <si>
    <t>4,26</t>
  </si>
  <si>
    <t>100,01%</t>
  </si>
  <si>
    <t>1,1583000</t>
  </si>
  <si>
    <t>3,31</t>
  </si>
  <si>
    <t>3,83</t>
  </si>
  <si>
    <t xml:space="preserve"> 00043488 </t>
  </si>
  <si>
    <t>EPI - FAMILIA OPERADOR ESCAVADEIRA - HORISTA (ENCARGOS COMPLEMENTARES - COLETADO CAIXA)</t>
  </si>
  <si>
    <t>3,2509549</t>
  </si>
  <si>
    <t>1,14</t>
  </si>
  <si>
    <t>3,71</t>
  </si>
  <si>
    <t xml:space="preserve"> 00043461 </t>
  </si>
  <si>
    <t>FERRAMENTAS - FAMILIA ENCANADOR - HORISTA (ENCARGOS COMPLEMENTARES - COLETADO CAIXA)</t>
  </si>
  <si>
    <t>0,2786680</t>
  </si>
  <si>
    <t>9,45</t>
  </si>
  <si>
    <t>2,63</t>
  </si>
  <si>
    <t>0,0124600</t>
  </si>
  <si>
    <t>2,34</t>
  </si>
  <si>
    <t>0,2500000</t>
  </si>
  <si>
    <t>8,54</t>
  </si>
  <si>
    <t>2,14</t>
  </si>
  <si>
    <t>8,0600000</t>
  </si>
  <si>
    <t>0,24</t>
  </si>
  <si>
    <t>1,93</t>
  </si>
  <si>
    <t>0,0338800</t>
  </si>
  <si>
    <t>55,81</t>
  </si>
  <si>
    <t>1,89</t>
  </si>
  <si>
    <t xml:space="preserve"> 00010535 </t>
  </si>
  <si>
    <t>BETONEIRA CAPACIDADE NOMINAL 400 L, CAPACIDADE DE MISTURA  280 L, MOTOR ELETRICO TRIFASICO 220/380 V POTENCIA 2 CV, SEM CARREGADOR</t>
  </si>
  <si>
    <t>0,0002659</t>
  </si>
  <si>
    <t>6.312,18</t>
  </si>
  <si>
    <t xml:space="preserve"> 00043459 </t>
  </si>
  <si>
    <t>FERRAMENTAS - FAMILIA CARPINTEIRO DE FORMAS - HORISTA (ENCARGOS COMPLEMENTARES - COLETADO CAIXA)</t>
  </si>
  <si>
    <t>0,56</t>
  </si>
  <si>
    <t>1,34</t>
  </si>
  <si>
    <t xml:space="preserve"> 00004222 </t>
  </si>
  <si>
    <t>GASOLINA COMUM</t>
  </si>
  <si>
    <t>0,1609321</t>
  </si>
  <si>
    <t>7,97</t>
  </si>
  <si>
    <t>1,28</t>
  </si>
  <si>
    <t>0,0583000</t>
  </si>
  <si>
    <t>19,40</t>
  </si>
  <si>
    <t>0,4627000</t>
  </si>
  <si>
    <t>2,18</t>
  </si>
  <si>
    <t>1,01</t>
  </si>
  <si>
    <t xml:space="preserve"> 00002705 </t>
  </si>
  <si>
    <t>ENERGIA ELETRICA ATE 2000 KWH INDUSTRIAL, SEM DEMANDA</t>
  </si>
  <si>
    <t>KW/H</t>
  </si>
  <si>
    <t>0,8916341</t>
  </si>
  <si>
    <t>0,89</t>
  </si>
  <si>
    <t>0,0539000</t>
  </si>
  <si>
    <t>16,02</t>
  </si>
  <si>
    <t>0,86</t>
  </si>
  <si>
    <t>0,0432000</t>
  </si>
  <si>
    <t>18,53</t>
  </si>
  <si>
    <t>0,80</t>
  </si>
  <si>
    <t>0,2272000</t>
  </si>
  <si>
    <t>3,37</t>
  </si>
  <si>
    <t xml:space="preserve"> 00013458 </t>
  </si>
  <si>
    <t>COMPACTADOR DE SOLOS DE PERCURSAO (SOQUETE) COM MOTOR A GASOLINA 4 TEMPOS DE 4 HP (4 CV)</t>
  </si>
  <si>
    <t>0,0000310</t>
  </si>
  <si>
    <t>20.404,75</t>
  </si>
  <si>
    <t>0,63</t>
  </si>
  <si>
    <t>0,0120000</t>
  </si>
  <si>
    <t>17,88</t>
  </si>
  <si>
    <t>0,21</t>
  </si>
  <si>
    <t>0,1540000</t>
  </si>
  <si>
    <t>0,20</t>
  </si>
  <si>
    <t>0,0183700</t>
  </si>
  <si>
    <t>8,55</t>
  </si>
  <si>
    <t>0,16</t>
  </si>
  <si>
    <t xml:space="preserve"> 00013896 </t>
  </si>
  <si>
    <t>VIBRADOR DE IMERSAO, DIAMETRO DA PONTEIRA DE *45* MM, COM MOTOR ELETRICO TRIFASICO DE 2 HP (2 CV)</t>
  </si>
  <si>
    <t>Equipamento para Aquisição Permanente</t>
  </si>
  <si>
    <t>0,0000330</t>
  </si>
  <si>
    <t>4.368,27</t>
  </si>
  <si>
    <t>0,14</t>
  </si>
  <si>
    <t xml:space="preserve"> 00043464 </t>
  </si>
  <si>
    <t>FERRAMENTAS - FAMILIA OPERADOR ESCAVADEIRA - HORISTA (ENCARGOS COMPLEMENTARES - COLETADO CAIXA)</t>
  </si>
  <si>
    <t>0,01</t>
  </si>
  <si>
    <t>0,03</t>
  </si>
  <si>
    <t xml:space="preserve"> 00014618 </t>
  </si>
  <si>
    <t>SERRA CIRCULAR DE BANCADA COM MOTOR ELETRICO, POTENCIA DE *1600* W, PARA DISCO DE DIAMETRO DE 10" (250 MM)</t>
  </si>
  <si>
    <t>0,0000138</t>
  </si>
  <si>
    <t>1.667,00</t>
  </si>
  <si>
    <t>0,02</t>
  </si>
  <si>
    <t>Totais por Tipo</t>
  </si>
  <si>
    <t>R$ 1.194,86</t>
  </si>
  <si>
    <t>R$ 0,17</t>
  </si>
  <si>
    <t>R$ 187.233,94</t>
  </si>
  <si>
    <t>R$ 705.209,06</t>
  </si>
  <si>
    <t>R$ 437,07</t>
  </si>
  <si>
    <t>R$ 33,62</t>
  </si>
  <si>
    <t>Administração</t>
  </si>
  <si>
    <t>R$ 0,00</t>
  </si>
  <si>
    <t>Aluguel</t>
  </si>
  <si>
    <t>Verba</t>
  </si>
  <si>
    <t>Transporte</t>
  </si>
  <si>
    <t>Franquia</t>
  </si>
  <si>
    <t>R$ 2.491,29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</si>
</sst>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quot;R$&quot;\ * #,##0.00_-;\-&quot;R$&quot;\ * #,##0.00_-;_-&quot;R$&quot;\ * &quot;-&quot;??_-;_-@_-"/>
    <numFmt numFmtId="43" formatCode="_-* #,##0.00_-;\-* #,##0.00_-;_-* &quot;-&quot;??_-;_-@_-"/>
    <numFmt numFmtId="164" formatCode="0.0"/>
    <numFmt numFmtId="165" formatCode="_(&quot;R$ &quot;* #,##0.00_);_(&quot;R$ &quot;* \(#,##0.00\);_(&quot;R$ &quot;* &quot;-&quot;??_);_(@_)"/>
    <numFmt numFmtId="166" formatCode="#,##0.00\ ;&quot; (&quot;#,##0.00\);&quot; -&quot;#\ ;@\ "/>
    <numFmt numFmtId="167" formatCode="_(* #,##0.00_);_(* \(#,##0.00\);_(* \-??_);_(@_)"/>
    <numFmt numFmtId="168" formatCode="_(&quot;R$&quot;* #,##0.00_);_(&quot;R$&quot;* \(#,##0.00\);_(&quot;R$&quot;* \-??_);_(@_)"/>
    <numFmt numFmtId="169" formatCode="#,##0.00\ %"/>
    <numFmt numFmtId="170" formatCode="General;General;"/>
    <numFmt numFmtId="171" formatCode="[$-F800]dddd\,\ mmmm\ dd\,\ yyyy"/>
    <numFmt numFmtId="172" formatCode="dd\ &quot;de&quot;\ mmmm\ &quot;de&quot;\ yyyy"/>
    <numFmt numFmtId="173" formatCode="#,##0.0000000"/>
  </numFmts>
  <fonts count="38" x14ac:knownFonts="1">
    <font>
      <sz val="11"/>
      <name val="Arial"/>
      <family val="1"/>
    </font>
    <font>
      <sz val="11"/>
      <color theme="1"/>
      <name val="Calibri"/>
      <family val="2"/>
      <scheme val="minor"/>
    </font>
    <font>
      <sz val="11"/>
      <color theme="1"/>
      <name val="Calibri"/>
      <family val="2"/>
      <scheme val="minor"/>
    </font>
    <font>
      <sz val="11"/>
      <color theme="1"/>
      <name val="Calibri"/>
      <family val="2"/>
      <scheme val="minor"/>
    </font>
    <font>
      <b/>
      <sz val="11"/>
      <name val="Arial"/>
      <family val="1"/>
    </font>
    <font>
      <b/>
      <sz val="11"/>
      <name val="Arial"/>
      <family val="1"/>
    </font>
    <font>
      <b/>
      <sz val="10"/>
      <color rgb="FF000000"/>
      <name val="Arial"/>
      <family val="1"/>
    </font>
    <font>
      <b/>
      <sz val="10"/>
      <name val="Arial"/>
      <family val="1"/>
    </font>
    <font>
      <sz val="10"/>
      <color rgb="FF000000"/>
      <name val="Arial"/>
      <family val="1"/>
    </font>
    <font>
      <b/>
      <sz val="10"/>
      <name val="Arial"/>
      <family val="1"/>
    </font>
    <font>
      <sz val="10"/>
      <name val="Arial"/>
      <family val="1"/>
    </font>
    <font>
      <sz val="11"/>
      <name val="Arial"/>
      <family val="1"/>
    </font>
    <font>
      <sz val="10"/>
      <name val="Arial"/>
      <family val="2"/>
    </font>
    <font>
      <sz val="11"/>
      <name val="Arial"/>
      <family val="2"/>
    </font>
    <font>
      <u/>
      <sz val="10"/>
      <color theme="10"/>
      <name val="Arial"/>
      <family val="2"/>
    </font>
    <font>
      <sz val="10"/>
      <name val="Arial"/>
      <family val="2"/>
    </font>
    <font>
      <sz val="8"/>
      <name val="Arial"/>
      <family val="1"/>
    </font>
    <font>
      <b/>
      <sz val="12"/>
      <name val="Arial Narrow"/>
      <family val="2"/>
    </font>
    <font>
      <sz val="10"/>
      <name val="Arial"/>
      <family val="2"/>
      <charset val="1"/>
    </font>
    <font>
      <sz val="10"/>
      <name val="MS Sans Serif"/>
      <family val="2"/>
    </font>
    <font>
      <u/>
      <sz val="11"/>
      <color theme="10"/>
      <name val="Arial"/>
      <family val="1"/>
    </font>
    <font>
      <b/>
      <sz val="11"/>
      <name val="Arial"/>
      <family val="2"/>
    </font>
    <font>
      <sz val="10"/>
      <color indexed="8"/>
      <name val="Arial Narrow"/>
      <family val="2"/>
    </font>
    <font>
      <b/>
      <sz val="10"/>
      <name val="Arial"/>
      <family val="2"/>
    </font>
    <font>
      <b/>
      <sz val="12"/>
      <name val="Arial"/>
      <family val="2"/>
    </font>
    <font>
      <b/>
      <sz val="10"/>
      <color indexed="12"/>
      <name val="Arial"/>
      <family val="2"/>
    </font>
    <font>
      <sz val="9"/>
      <name val="Arial"/>
      <family val="2"/>
    </font>
    <font>
      <b/>
      <u/>
      <sz val="15"/>
      <name val="Arial"/>
      <family val="2"/>
    </font>
    <font>
      <b/>
      <sz val="20"/>
      <color indexed="10"/>
      <name val="Arial"/>
      <family val="2"/>
    </font>
    <font>
      <b/>
      <sz val="12"/>
      <color indexed="10"/>
      <name val="Arial"/>
      <family val="2"/>
    </font>
    <font>
      <sz val="11"/>
      <color indexed="9"/>
      <name val="Arial"/>
      <family val="2"/>
    </font>
    <font>
      <b/>
      <sz val="11"/>
      <color indexed="12"/>
      <name val="Arial"/>
      <family val="2"/>
    </font>
    <font>
      <b/>
      <sz val="18"/>
      <name val="Arial"/>
      <family val="2"/>
    </font>
    <font>
      <sz val="10.5"/>
      <name val="Arial"/>
      <family val="2"/>
    </font>
    <font>
      <i/>
      <sz val="12"/>
      <name val="Calibri"/>
      <family val="2"/>
    </font>
    <font>
      <i/>
      <u/>
      <sz val="12"/>
      <name val="Calibri"/>
      <family val="2"/>
    </font>
    <font>
      <u/>
      <sz val="10"/>
      <name val="Arial"/>
      <family val="2"/>
    </font>
    <font>
      <sz val="12"/>
      <name val="Arial"/>
      <family val="2"/>
    </font>
  </fonts>
  <fills count="18">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indexed="9"/>
        <bgColor indexed="64"/>
      </patternFill>
    </fill>
    <fill>
      <patternFill patternType="solid">
        <fgColor rgb="FFFFFFFF"/>
        <bgColor rgb="FFFFFFFF"/>
      </patternFill>
    </fill>
    <fill>
      <patternFill patternType="solid">
        <fgColor rgb="FFB6B6B6"/>
        <bgColor rgb="FFB6B6B6"/>
      </patternFill>
    </fill>
    <fill>
      <patternFill patternType="solid">
        <fgColor rgb="FFFFFF00"/>
        <bgColor rgb="FFFFFFFF"/>
      </patternFill>
    </fill>
    <fill>
      <patternFill patternType="solid">
        <fgColor rgb="FF929496"/>
      </patternFill>
    </fill>
    <fill>
      <patternFill patternType="solid">
        <fgColor rgb="FFF9F9F9"/>
      </patternFill>
    </fill>
    <fill>
      <patternFill patternType="solid">
        <fgColor theme="0"/>
        <bgColor rgb="FFFFFFFF"/>
      </patternFill>
    </fill>
    <fill>
      <patternFill patternType="solid">
        <fgColor indexed="43"/>
        <bgColor indexed="64"/>
      </patternFill>
    </fill>
    <fill>
      <patternFill patternType="solid">
        <fgColor rgb="FFFFFF00"/>
        <bgColor indexed="64"/>
      </patternFill>
    </fill>
    <fill>
      <patternFill patternType="solid">
        <fgColor rgb="FFEFEFEF"/>
        <bgColor rgb="FFEFEFEF"/>
      </patternFill>
    </fill>
    <fill>
      <patternFill patternType="solid">
        <fgColor rgb="FFD6D6D6"/>
        <bgColor rgb="FFD6D6D6"/>
      </patternFill>
    </fill>
  </fills>
  <borders count="16">
    <border>
      <left/>
      <right/>
      <top/>
      <bottom/>
      <diagonal/>
    </border>
    <border>
      <left style="thin">
        <color rgb="FFCCCCCC"/>
      </left>
      <right style="thin">
        <color rgb="FFCCCCCC"/>
      </right>
      <top style="thin">
        <color rgb="FFCCCCCC"/>
      </top>
      <bottom style="thin">
        <color rgb="FFCCCCCC"/>
      </bottom>
      <diagonal/>
    </border>
    <border>
      <left/>
      <right/>
      <top/>
      <bottom style="thin">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ck">
        <color rgb="FF000000"/>
      </top>
      <bottom/>
      <diagonal/>
    </border>
    <border>
      <left/>
      <right/>
      <top/>
      <bottom style="thick">
        <color rgb="FFFF5500"/>
      </bottom>
      <diagonal/>
    </border>
  </borders>
  <cellStyleXfs count="40">
    <xf numFmtId="0" fontId="0" fillId="0" borderId="0"/>
    <xf numFmtId="0" fontId="3" fillId="0" borderId="0"/>
    <xf numFmtId="0" fontId="12" fillId="0" borderId="0"/>
    <xf numFmtId="0" fontId="11" fillId="0" borderId="0"/>
    <xf numFmtId="0" fontId="3" fillId="0" borderId="0"/>
    <xf numFmtId="165" fontId="12" fillId="0" borderId="0" applyFill="0" applyBorder="0" applyAlignment="0" applyProtection="0"/>
    <xf numFmtId="166" fontId="12" fillId="0" borderId="0"/>
    <xf numFmtId="165" fontId="15" fillId="0" borderId="0" applyFill="0" applyBorder="0" applyAlignment="0" applyProtection="0"/>
    <xf numFmtId="44" fontId="12" fillId="0" borderId="0" applyFont="0" applyFill="0" applyBorder="0" applyAlignment="0" applyProtection="0"/>
    <xf numFmtId="0" fontId="2" fillId="0" borderId="0"/>
    <xf numFmtId="9" fontId="2" fillId="0" borderId="0" applyFont="0" applyFill="0" applyBorder="0" applyAlignment="0" applyProtection="0"/>
    <xf numFmtId="9" fontId="12" fillId="0" borderId="0" applyFont="0" applyFill="0" applyBorder="0" applyAlignment="0" applyProtection="0"/>
    <xf numFmtId="44" fontId="12" fillId="0" borderId="0" applyFont="0" applyFill="0" applyBorder="0" applyAlignment="0" applyProtection="0"/>
    <xf numFmtId="0" fontId="12" fillId="0" borderId="0"/>
    <xf numFmtId="0" fontId="18" fillId="0" borderId="0"/>
    <xf numFmtId="0" fontId="12" fillId="0" borderId="0"/>
    <xf numFmtId="9" fontId="18" fillId="0" borderId="0"/>
    <xf numFmtId="168" fontId="18" fillId="0" borderId="0"/>
    <xf numFmtId="167" fontId="18" fillId="0" borderId="0"/>
    <xf numFmtId="167" fontId="18" fillId="0" borderId="0"/>
    <xf numFmtId="0" fontId="18" fillId="0" borderId="0"/>
    <xf numFmtId="44" fontId="12" fillId="0" borderId="0" applyFill="0" applyBorder="0" applyAlignment="0" applyProtection="0"/>
    <xf numFmtId="0" fontId="19" fillId="0" borderId="0"/>
    <xf numFmtId="44" fontId="2" fillId="0" borderId="0" applyFont="0" applyFill="0" applyBorder="0" applyAlignment="0" applyProtection="0"/>
    <xf numFmtId="43" fontId="2" fillId="0" borderId="0" applyFont="0" applyFill="0" applyBorder="0" applyAlignment="0" applyProtection="0"/>
    <xf numFmtId="44" fontId="12" fillId="0" borderId="0" applyFont="0" applyFill="0" applyBorder="0" applyAlignment="0" applyProtection="0"/>
    <xf numFmtId="44" fontId="12" fillId="0" borderId="0" applyFill="0" applyBorder="0" applyAlignment="0" applyProtection="0"/>
    <xf numFmtId="0" fontId="2" fillId="0" borderId="0"/>
    <xf numFmtId="0" fontId="2" fillId="0" borderId="0"/>
    <xf numFmtId="166" fontId="1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0" fontId="14" fillId="0" borderId="0" applyNumberFormat="0" applyFill="0" applyBorder="0" applyAlignment="0" applyProtection="0"/>
    <xf numFmtId="165" fontId="12" fillId="0" borderId="0" applyFill="0" applyBorder="0" applyAlignment="0" applyProtection="0"/>
    <xf numFmtId="0" fontId="20" fillId="0" borderId="0" applyNumberFormat="0" applyFill="0" applyBorder="0" applyAlignment="0" applyProtection="0"/>
    <xf numFmtId="165" fontId="12" fillId="0" borderId="0" applyFill="0" applyBorder="0" applyAlignment="0" applyProtection="0"/>
    <xf numFmtId="0" fontId="1" fillId="0" borderId="0"/>
    <xf numFmtId="0" fontId="26" fillId="0" borderId="0"/>
    <xf numFmtId="165" fontId="12" fillId="0" borderId="0" applyFont="0" applyFill="0" applyBorder="0" applyAlignment="0" applyProtection="0"/>
  </cellStyleXfs>
  <cellXfs count="176">
    <xf numFmtId="0" fontId="0" fillId="0" borderId="0" xfId="0"/>
    <xf numFmtId="0" fontId="4" fillId="2" borderId="0" xfId="0" applyFont="1" applyFill="1" applyAlignment="1">
      <alignment horizontal="left" vertical="center" wrapText="1"/>
    </xf>
    <xf numFmtId="0" fontId="0" fillId="0" borderId="0" xfId="0" applyAlignment="1">
      <alignment vertical="center"/>
    </xf>
    <xf numFmtId="0" fontId="9" fillId="4" borderId="0" xfId="0" applyFont="1" applyFill="1" applyAlignment="1">
      <alignment horizontal="left" vertical="center" wrapText="1"/>
    </xf>
    <xf numFmtId="0" fontId="4" fillId="2" borderId="0" xfId="0" applyFont="1" applyFill="1" applyAlignment="1">
      <alignment horizontal="right" vertical="center" wrapText="1"/>
    </xf>
    <xf numFmtId="0" fontId="9" fillId="4" borderId="0" xfId="0" applyFont="1" applyFill="1" applyAlignment="1">
      <alignment horizontal="right" vertical="center" wrapText="1"/>
    </xf>
    <xf numFmtId="0" fontId="0" fillId="0" borderId="0" xfId="0" applyAlignment="1">
      <alignment horizontal="right" vertical="center"/>
    </xf>
    <xf numFmtId="0" fontId="7" fillId="6" borderId="0" xfId="0" applyFont="1" applyFill="1" applyAlignment="1">
      <alignment horizontal="left" vertical="center" wrapText="1"/>
    </xf>
    <xf numFmtId="0" fontId="4" fillId="6" borderId="1" xfId="0" applyFont="1" applyFill="1" applyBorder="1" applyAlignment="1">
      <alignment horizontal="left" vertical="top" wrapText="1"/>
    </xf>
    <xf numFmtId="0" fontId="4" fillId="6" borderId="1" xfId="0" applyFont="1" applyFill="1" applyBorder="1" applyAlignment="1">
      <alignment horizontal="right" vertical="top" wrapText="1"/>
    </xf>
    <xf numFmtId="43" fontId="0" fillId="0" borderId="0" xfId="0" applyNumberFormat="1" applyAlignment="1">
      <alignment vertical="center"/>
    </xf>
    <xf numFmtId="0" fontId="7" fillId="6" borderId="0" xfId="0" applyFont="1" applyFill="1" applyAlignment="1">
      <alignment horizontal="right" vertical="top" wrapText="1"/>
    </xf>
    <xf numFmtId="0" fontId="10" fillId="6" borderId="0" xfId="0" applyFont="1" applyFill="1" applyAlignment="1">
      <alignment horizontal="left" vertical="top" wrapText="1"/>
    </xf>
    <xf numFmtId="0" fontId="7" fillId="6" borderId="0" xfId="0" applyFont="1" applyFill="1" applyAlignment="1">
      <alignment horizontal="right" vertical="center" wrapText="1"/>
    </xf>
    <xf numFmtId="0" fontId="7" fillId="6" borderId="0" xfId="0" applyFont="1" applyFill="1" applyAlignment="1">
      <alignment horizontal="left" vertical="top" wrapText="1"/>
    </xf>
    <xf numFmtId="4" fontId="7" fillId="6" borderId="0" xfId="0" applyNumberFormat="1" applyFont="1" applyFill="1" applyAlignment="1">
      <alignment horizontal="right" vertical="top" wrapText="1"/>
    </xf>
    <xf numFmtId="164" fontId="17" fillId="7" borderId="0" xfId="2" applyNumberFormat="1" applyFont="1" applyFill="1" applyAlignment="1">
      <alignment horizontal="left" vertical="center"/>
    </xf>
    <xf numFmtId="0" fontId="4" fillId="8" borderId="1" xfId="0" applyFont="1" applyFill="1" applyBorder="1" applyAlignment="1">
      <alignment horizontal="right" vertical="top" wrapText="1"/>
    </xf>
    <xf numFmtId="0" fontId="6" fillId="9" borderId="1" xfId="0" applyFont="1" applyFill="1" applyBorder="1" applyAlignment="1">
      <alignment horizontal="left" vertical="top" wrapText="1"/>
    </xf>
    <xf numFmtId="0" fontId="8" fillId="8" borderId="1" xfId="0" applyFont="1" applyFill="1" applyBorder="1" applyAlignment="1">
      <alignment horizontal="left" vertical="top" wrapText="1"/>
    </xf>
    <xf numFmtId="0" fontId="8" fillId="8" borderId="1" xfId="0" applyFont="1" applyFill="1" applyBorder="1" applyAlignment="1">
      <alignment horizontal="right" vertical="top" wrapText="1"/>
    </xf>
    <xf numFmtId="0" fontId="8" fillId="8" borderId="1" xfId="0" applyFont="1" applyFill="1" applyBorder="1" applyAlignment="1">
      <alignment horizontal="center" vertical="top" wrapText="1"/>
    </xf>
    <xf numFmtId="0" fontId="21" fillId="6" borderId="0" xfId="3" applyFont="1" applyFill="1" applyAlignment="1">
      <alignment horizontal="left" vertical="center"/>
    </xf>
    <xf numFmtId="2" fontId="22" fillId="0" borderId="0" xfId="0" applyNumberFormat="1" applyFont="1" applyAlignment="1">
      <alignment horizontal="right" vertical="center" wrapText="1"/>
    </xf>
    <xf numFmtId="43" fontId="8" fillId="0" borderId="1" xfId="3" applyNumberFormat="1" applyFont="1" applyBorder="1" applyAlignment="1">
      <alignment horizontal="right" vertical="center" wrapText="1"/>
    </xf>
    <xf numFmtId="43" fontId="22" fillId="0" borderId="0" xfId="0" applyNumberFormat="1" applyFont="1" applyAlignment="1">
      <alignment horizontal="right" vertical="center" wrapText="1"/>
    </xf>
    <xf numFmtId="0" fontId="4" fillId="8" borderId="1" xfId="0" applyFont="1" applyFill="1" applyBorder="1" applyAlignment="1">
      <alignment horizontal="right" vertical="center" wrapText="1"/>
    </xf>
    <xf numFmtId="43" fontId="4" fillId="8" borderId="1" xfId="0" applyNumberFormat="1" applyFont="1" applyFill="1" applyBorder="1" applyAlignment="1">
      <alignment horizontal="right" vertical="center" wrapText="1"/>
    </xf>
    <xf numFmtId="0" fontId="6" fillId="9" borderId="1" xfId="0" applyFont="1" applyFill="1" applyBorder="1" applyAlignment="1">
      <alignment horizontal="left" vertical="center" wrapText="1"/>
    </xf>
    <xf numFmtId="43" fontId="6" fillId="9" borderId="1" xfId="0" applyNumberFormat="1" applyFont="1" applyFill="1" applyBorder="1" applyAlignment="1">
      <alignment horizontal="right" vertical="center" wrapText="1"/>
    </xf>
    <xf numFmtId="0" fontId="8" fillId="8" borderId="1" xfId="0" applyFont="1" applyFill="1" applyBorder="1" applyAlignment="1">
      <alignment horizontal="right" vertical="center" wrapText="1"/>
    </xf>
    <xf numFmtId="43" fontId="8" fillId="8" borderId="1" xfId="0" applyNumberFormat="1" applyFont="1" applyFill="1" applyBorder="1" applyAlignment="1">
      <alignment horizontal="right" vertical="center" wrapText="1"/>
    </xf>
    <xf numFmtId="4" fontId="8" fillId="8" borderId="1" xfId="0" applyNumberFormat="1" applyFont="1" applyFill="1" applyBorder="1" applyAlignment="1">
      <alignment horizontal="right" vertical="center" wrapText="1"/>
    </xf>
    <xf numFmtId="43" fontId="8" fillId="10" borderId="1" xfId="0" applyNumberFormat="1" applyFont="1" applyFill="1" applyBorder="1" applyAlignment="1">
      <alignment horizontal="right" vertical="center" wrapText="1"/>
    </xf>
    <xf numFmtId="0" fontId="6" fillId="11" borderId="1" xfId="0" applyFont="1" applyFill="1" applyBorder="1" applyAlignment="1">
      <alignment horizontal="left" vertical="center" wrapText="1"/>
    </xf>
    <xf numFmtId="4" fontId="8" fillId="12" borderId="1" xfId="0" applyNumberFormat="1" applyFont="1" applyFill="1" applyBorder="1" applyAlignment="1">
      <alignment horizontal="right" vertical="center" wrapText="1"/>
    </xf>
    <xf numFmtId="0" fontId="8" fillId="12" borderId="1" xfId="0" applyFont="1" applyFill="1" applyBorder="1" applyAlignment="1">
      <alignment horizontal="right" vertical="center" wrapText="1"/>
    </xf>
    <xf numFmtId="43" fontId="8" fillId="0" borderId="1" xfId="0" applyNumberFormat="1" applyFont="1" applyBorder="1" applyAlignment="1">
      <alignment horizontal="right" vertical="center" wrapText="1"/>
    </xf>
    <xf numFmtId="43" fontId="8" fillId="13" borderId="1" xfId="0" applyNumberFormat="1" applyFont="1" applyFill="1" applyBorder="1" applyAlignment="1">
      <alignment horizontal="right" vertical="center" wrapText="1"/>
    </xf>
    <xf numFmtId="0" fontId="6" fillId="9" borderId="1" xfId="0" applyFont="1" applyFill="1" applyBorder="1" applyAlignment="1">
      <alignment horizontal="right" vertical="top" wrapText="1"/>
    </xf>
    <xf numFmtId="0" fontId="4" fillId="6" borderId="0" xfId="0" applyFont="1" applyFill="1" applyAlignment="1">
      <alignment horizontal="left" vertical="top" wrapText="1"/>
    </xf>
    <xf numFmtId="0" fontId="7" fillId="6" borderId="0" xfId="0" applyFont="1" applyFill="1" applyAlignment="1">
      <alignment horizontal="center" vertical="top" wrapText="1"/>
    </xf>
    <xf numFmtId="0" fontId="12" fillId="0" borderId="0" xfId="2"/>
    <xf numFmtId="0" fontId="23" fillId="0" borderId="0" xfId="2" applyFont="1" applyAlignment="1">
      <alignment horizontal="center"/>
    </xf>
    <xf numFmtId="0" fontId="24" fillId="0" borderId="0" xfId="2" applyFont="1" applyAlignment="1">
      <alignment horizontal="center"/>
    </xf>
    <xf numFmtId="0" fontId="1" fillId="0" borderId="0" xfId="37"/>
    <xf numFmtId="0" fontId="23" fillId="0" borderId="3" xfId="2" applyFont="1" applyBorder="1" applyAlignment="1">
      <alignment horizontal="center"/>
    </xf>
    <xf numFmtId="10" fontId="25" fillId="0" borderId="3" xfId="2" applyNumberFormat="1" applyFont="1" applyBorder="1" applyAlignment="1">
      <alignment horizontal="center"/>
    </xf>
    <xf numFmtId="0" fontId="23" fillId="0" borderId="0" xfId="38" applyFont="1" applyAlignment="1">
      <alignment horizontal="left" vertical="top"/>
    </xf>
    <xf numFmtId="0" fontId="27" fillId="0" borderId="0" xfId="2" applyFont="1"/>
    <xf numFmtId="0" fontId="23" fillId="0" borderId="0" xfId="2" applyFont="1"/>
    <xf numFmtId="0" fontId="23" fillId="0" borderId="3" xfId="2" applyFont="1" applyBorder="1" applyAlignment="1">
      <alignment horizontal="center" vertical="center" wrapText="1"/>
    </xf>
    <xf numFmtId="4" fontId="21" fillId="0" borderId="3" xfId="2" applyNumberFormat="1" applyFont="1" applyBorder="1" applyAlignment="1">
      <alignment horizontal="center" vertical="center" wrapText="1"/>
    </xf>
    <xf numFmtId="0" fontId="28" fillId="0" borderId="0" xfId="2" applyFont="1" applyAlignment="1">
      <alignment vertical="top" wrapText="1"/>
    </xf>
    <xf numFmtId="0" fontId="13" fillId="0" borderId="3" xfId="2" applyFont="1" applyBorder="1" applyAlignment="1">
      <alignment horizontal="center" vertical="center"/>
    </xf>
    <xf numFmtId="10" fontId="13" fillId="14" borderId="3" xfId="2" applyNumberFormat="1" applyFont="1" applyFill="1" applyBorder="1" applyAlignment="1" applyProtection="1">
      <alignment horizontal="center" vertical="center"/>
      <protection locked="0"/>
    </xf>
    <xf numFmtId="4" fontId="21" fillId="0" borderId="3" xfId="2" applyNumberFormat="1" applyFont="1" applyBorder="1" applyAlignment="1">
      <alignment horizontal="center" vertical="center"/>
    </xf>
    <xf numFmtId="10" fontId="13" fillId="0" borderId="3" xfId="2" applyNumberFormat="1" applyFont="1" applyBorder="1" applyAlignment="1">
      <alignment horizontal="center" vertical="center"/>
    </xf>
    <xf numFmtId="10" fontId="13" fillId="0" borderId="3" xfId="2" applyNumberFormat="1" applyFont="1" applyBorder="1" applyAlignment="1">
      <alignment horizontal="center" vertical="center" wrapText="1"/>
    </xf>
    <xf numFmtId="0" fontId="13" fillId="0" borderId="3" xfId="2" applyFont="1" applyBorder="1" applyAlignment="1">
      <alignment horizontal="center" vertical="center" wrapText="1"/>
    </xf>
    <xf numFmtId="0" fontId="29" fillId="0" borderId="0" xfId="2" applyFont="1" applyAlignment="1">
      <alignment wrapText="1"/>
    </xf>
    <xf numFmtId="0" fontId="30" fillId="0" borderId="0" xfId="2" applyFont="1" applyAlignment="1">
      <alignment horizontal="center" vertical="center" wrapText="1"/>
    </xf>
    <xf numFmtId="10" fontId="30" fillId="0" borderId="0" xfId="2" applyNumberFormat="1" applyFont="1" applyAlignment="1">
      <alignment horizontal="center" vertical="center"/>
    </xf>
    <xf numFmtId="4" fontId="21" fillId="0" borderId="0" xfId="2" applyNumberFormat="1" applyFont="1" applyAlignment="1">
      <alignment horizontal="center" vertical="center" wrapText="1"/>
    </xf>
    <xf numFmtId="0" fontId="12" fillId="0" borderId="0" xfId="2" applyProtection="1">
      <protection locked="0"/>
    </xf>
    <xf numFmtId="0" fontId="32" fillId="0" borderId="3" xfId="2" applyFont="1" applyBorder="1" applyAlignment="1">
      <alignment horizontal="center" vertical="center"/>
    </xf>
    <xf numFmtId="0" fontId="12" fillId="0" borderId="0" xfId="2" applyAlignment="1">
      <alignment horizontal="center" vertical="top"/>
    </xf>
    <xf numFmtId="0" fontId="36" fillId="0" borderId="0" xfId="2" applyFont="1" applyAlignment="1">
      <alignment horizontal="center" vertical="top"/>
    </xf>
    <xf numFmtId="172" fontId="12" fillId="0" borderId="0" xfId="2" applyNumberFormat="1"/>
    <xf numFmtId="0" fontId="23" fillId="0" borderId="10" xfId="2" applyFont="1" applyBorder="1" applyAlignment="1">
      <alignment horizontal="left"/>
    </xf>
    <xf numFmtId="0" fontId="12" fillId="0" borderId="10" xfId="2" applyBorder="1"/>
    <xf numFmtId="0" fontId="13" fillId="0" borderId="0" xfId="2" applyFont="1"/>
    <xf numFmtId="0" fontId="13" fillId="0" borderId="0" xfId="2" applyFont="1" applyAlignment="1">
      <alignment vertical="top"/>
    </xf>
    <xf numFmtId="0" fontId="12" fillId="15" borderId="0" xfId="3" applyFont="1" applyFill="1" applyAlignment="1">
      <alignment horizontal="left" vertical="center"/>
    </xf>
    <xf numFmtId="10" fontId="7" fillId="6" borderId="0" xfId="0" applyNumberFormat="1" applyFont="1" applyFill="1" applyAlignment="1">
      <alignment horizontal="left" vertical="center" wrapText="1"/>
    </xf>
    <xf numFmtId="0" fontId="4" fillId="8" borderId="1" xfId="0" applyFont="1" applyFill="1" applyBorder="1" applyAlignment="1">
      <alignment horizontal="left" vertical="top" wrapText="1"/>
    </xf>
    <xf numFmtId="0" fontId="4" fillId="8" borderId="1" xfId="0" applyFont="1" applyFill="1" applyBorder="1" applyAlignment="1">
      <alignment horizontal="center" vertical="top" wrapText="1"/>
    </xf>
    <xf numFmtId="0" fontId="7" fillId="8" borderId="0" xfId="0" applyFont="1" applyFill="1" applyAlignment="1">
      <alignment horizontal="right" vertical="top" wrapText="1"/>
    </xf>
    <xf numFmtId="4" fontId="7" fillId="8" borderId="0" xfId="0" applyNumberFormat="1" applyFont="1" applyFill="1" applyAlignment="1">
      <alignment horizontal="right" vertical="top" wrapText="1"/>
    </xf>
    <xf numFmtId="0" fontId="10" fillId="8" borderId="0" xfId="0" applyFont="1" applyFill="1" applyAlignment="1">
      <alignment horizontal="center" vertical="top" wrapText="1"/>
    </xf>
    <xf numFmtId="4" fontId="6" fillId="9" borderId="1" xfId="0" applyNumberFormat="1" applyFont="1" applyFill="1" applyBorder="1" applyAlignment="1">
      <alignment horizontal="right" vertical="top" wrapText="1"/>
    </xf>
    <xf numFmtId="169" fontId="6" fillId="9" borderId="1" xfId="0" applyNumberFormat="1" applyFont="1" applyFill="1" applyBorder="1" applyAlignment="1">
      <alignment horizontal="right" vertical="top" wrapText="1"/>
    </xf>
    <xf numFmtId="4" fontId="8" fillId="8" borderId="1" xfId="0" applyNumberFormat="1" applyFont="1" applyFill="1" applyBorder="1" applyAlignment="1">
      <alignment horizontal="right" vertical="top" wrapText="1"/>
    </xf>
    <xf numFmtId="169" fontId="8" fillId="8" borderId="1" xfId="0" applyNumberFormat="1" applyFont="1" applyFill="1" applyBorder="1" applyAlignment="1">
      <alignment horizontal="right" vertical="top" wrapText="1"/>
    </xf>
    <xf numFmtId="0" fontId="7" fillId="8" borderId="0" xfId="0" applyFont="1" applyFill="1" applyAlignment="1">
      <alignment horizontal="center" vertical="top" wrapText="1"/>
    </xf>
    <xf numFmtId="0" fontId="10" fillId="8" borderId="0" xfId="0" applyFont="1" applyFill="1" applyAlignment="1">
      <alignment horizontal="left" vertical="top" wrapText="1"/>
    </xf>
    <xf numFmtId="173" fontId="8" fillId="8" borderId="1" xfId="0" applyNumberFormat="1" applyFont="1" applyFill="1" applyBorder="1" applyAlignment="1">
      <alignment horizontal="right" vertical="top" wrapText="1"/>
    </xf>
    <xf numFmtId="0" fontId="10" fillId="16" borderId="1" xfId="0" applyFont="1" applyFill="1" applyBorder="1" applyAlignment="1">
      <alignment horizontal="left" vertical="top" wrapText="1"/>
    </xf>
    <xf numFmtId="0" fontId="10" fillId="16" borderId="1" xfId="0" applyFont="1" applyFill="1" applyBorder="1" applyAlignment="1">
      <alignment horizontal="right" vertical="top" wrapText="1"/>
    </xf>
    <xf numFmtId="0" fontId="10" fillId="16" borderId="1" xfId="0" applyFont="1" applyFill="1" applyBorder="1" applyAlignment="1">
      <alignment horizontal="center" vertical="top" wrapText="1"/>
    </xf>
    <xf numFmtId="173" fontId="10" fillId="16" borderId="1" xfId="0" applyNumberFormat="1" applyFont="1" applyFill="1" applyBorder="1" applyAlignment="1">
      <alignment horizontal="right" vertical="top" wrapText="1"/>
    </xf>
    <xf numFmtId="4" fontId="10" fillId="16" borderId="1" xfId="0" applyNumberFormat="1" applyFont="1" applyFill="1" applyBorder="1" applyAlignment="1">
      <alignment horizontal="right" vertical="top" wrapText="1"/>
    </xf>
    <xf numFmtId="0" fontId="10" fillId="8" borderId="0" xfId="0" applyFont="1" applyFill="1" applyAlignment="1">
      <alignment horizontal="right" vertical="top" wrapText="1"/>
    </xf>
    <xf numFmtId="4" fontId="10" fillId="8" borderId="0" xfId="0" applyNumberFormat="1" applyFont="1" applyFill="1" applyAlignment="1">
      <alignment horizontal="right" vertical="top" wrapText="1"/>
    </xf>
    <xf numFmtId="173" fontId="7" fillId="8" borderId="0" xfId="0" applyNumberFormat="1" applyFont="1" applyFill="1" applyAlignment="1">
      <alignment horizontal="right" vertical="top" wrapText="1"/>
    </xf>
    <xf numFmtId="0" fontId="8" fillId="8" borderId="14" xfId="0" applyFont="1" applyFill="1" applyBorder="1" applyAlignment="1">
      <alignment horizontal="left" vertical="top" wrapText="1"/>
    </xf>
    <xf numFmtId="0" fontId="10" fillId="17" borderId="1" xfId="0" applyFont="1" applyFill="1" applyBorder="1" applyAlignment="1">
      <alignment horizontal="left" vertical="top" wrapText="1"/>
    </xf>
    <xf numFmtId="0" fontId="10" fillId="17" borderId="1" xfId="0" applyFont="1" applyFill="1" applyBorder="1" applyAlignment="1">
      <alignment horizontal="right" vertical="top" wrapText="1"/>
    </xf>
    <xf numFmtId="0" fontId="10" fillId="17" borderId="1" xfId="0" applyFont="1" applyFill="1" applyBorder="1" applyAlignment="1">
      <alignment horizontal="center" vertical="top" wrapText="1"/>
    </xf>
    <xf numFmtId="173" fontId="10" fillId="17" borderId="1" xfId="0" applyNumberFormat="1" applyFont="1" applyFill="1" applyBorder="1" applyAlignment="1">
      <alignment horizontal="right" vertical="top" wrapText="1"/>
    </xf>
    <xf numFmtId="4" fontId="10" fillId="17" borderId="1" xfId="0" applyNumberFormat="1" applyFont="1" applyFill="1" applyBorder="1" applyAlignment="1">
      <alignment horizontal="right" vertical="top" wrapText="1"/>
    </xf>
    <xf numFmtId="0" fontId="7" fillId="8" borderId="0" xfId="0" applyFont="1" applyFill="1" applyAlignment="1">
      <alignment horizontal="left" vertical="top" wrapText="1"/>
    </xf>
    <xf numFmtId="43" fontId="6" fillId="11" borderId="1" xfId="0" applyNumberFormat="1" applyFont="1" applyFill="1" applyBorder="1" applyAlignment="1">
      <alignment horizontal="left" vertical="center" wrapText="1"/>
    </xf>
    <xf numFmtId="43" fontId="8" fillId="12" borderId="1" xfId="0" applyNumberFormat="1" applyFont="1" applyFill="1" applyBorder="1" applyAlignment="1">
      <alignment horizontal="right" vertical="center" wrapText="1"/>
    </xf>
    <xf numFmtId="43" fontId="6" fillId="9" borderId="1" xfId="0" applyNumberFormat="1" applyFont="1" applyFill="1" applyBorder="1" applyAlignment="1">
      <alignment horizontal="right" vertical="top" wrapText="1"/>
    </xf>
    <xf numFmtId="43" fontId="8" fillId="8" borderId="1" xfId="0" applyNumberFormat="1" applyFont="1" applyFill="1" applyBorder="1" applyAlignment="1">
      <alignment horizontal="right" vertical="top" wrapText="1"/>
    </xf>
    <xf numFmtId="43" fontId="6" fillId="9" borderId="1" xfId="0" applyNumberFormat="1" applyFont="1" applyFill="1" applyBorder="1" applyAlignment="1">
      <alignment horizontal="left" vertical="top" wrapText="1"/>
    </xf>
    <xf numFmtId="0" fontId="8" fillId="9" borderId="15" xfId="0" applyFont="1" applyFill="1" applyBorder="1" applyAlignment="1">
      <alignment horizontal="right" vertical="top" wrapText="1"/>
    </xf>
    <xf numFmtId="0" fontId="4" fillId="6" borderId="0" xfId="0" applyFont="1" applyFill="1" applyAlignment="1">
      <alignment horizontal="center" vertical="center" wrapText="1"/>
    </xf>
    <xf numFmtId="0" fontId="0" fillId="0" borderId="0" xfId="0" applyAlignment="1">
      <alignment vertical="center"/>
    </xf>
    <xf numFmtId="0" fontId="13" fillId="0" borderId="0" xfId="0" applyFont="1" applyAlignment="1">
      <alignment horizontal="center" vertical="center"/>
    </xf>
    <xf numFmtId="0" fontId="7" fillId="8" borderId="0" xfId="0" applyFont="1" applyFill="1" applyAlignment="1">
      <alignment horizontal="right" vertical="top" wrapText="1"/>
    </xf>
    <xf numFmtId="0" fontId="7" fillId="8" borderId="0" xfId="0" applyFont="1" applyFill="1" applyAlignment="1">
      <alignment horizontal="left" vertical="top" wrapText="1"/>
    </xf>
    <xf numFmtId="4" fontId="7" fillId="8" borderId="0" xfId="0" applyNumberFormat="1" applyFont="1" applyFill="1" applyAlignment="1">
      <alignment horizontal="right" vertical="top" wrapText="1"/>
    </xf>
    <xf numFmtId="0" fontId="10" fillId="8" borderId="0" xfId="0" applyFont="1" applyFill="1" applyAlignment="1">
      <alignment horizontal="center" vertical="top" wrapText="1"/>
    </xf>
    <xf numFmtId="0" fontId="10" fillId="5" borderId="0" xfId="0" applyFont="1" applyFill="1" applyAlignment="1">
      <alignment horizontal="center" vertical="center" wrapText="1"/>
    </xf>
    <xf numFmtId="0" fontId="7" fillId="0" borderId="0" xfId="0" applyFont="1" applyAlignment="1">
      <alignment horizontal="left" vertical="center" wrapText="1"/>
    </xf>
    <xf numFmtId="0" fontId="5" fillId="3" borderId="2" xfId="0" applyFont="1" applyFill="1" applyBorder="1" applyAlignment="1">
      <alignment horizontal="center" vertical="center" wrapText="1"/>
    </xf>
    <xf numFmtId="0" fontId="0" fillId="0" borderId="0" xfId="0"/>
    <xf numFmtId="0" fontId="4" fillId="6" borderId="0" xfId="0" applyFont="1" applyFill="1" applyAlignment="1">
      <alignment horizontal="left" vertical="top" wrapText="1"/>
    </xf>
    <xf numFmtId="0" fontId="7" fillId="6" borderId="0" xfId="0" applyFont="1" applyFill="1" applyAlignment="1">
      <alignment horizontal="left" vertical="top" wrapText="1"/>
    </xf>
    <xf numFmtId="10" fontId="7" fillId="6" borderId="0" xfId="0" applyNumberFormat="1" applyFont="1" applyFill="1" applyAlignment="1">
      <alignment horizontal="left" vertical="top" wrapText="1"/>
    </xf>
    <xf numFmtId="0" fontId="6" fillId="9" borderId="1" xfId="0" applyFont="1" applyFill="1" applyBorder="1" applyAlignment="1">
      <alignment horizontal="left" vertical="top" wrapText="1"/>
    </xf>
    <xf numFmtId="0" fontId="4" fillId="6" borderId="0" xfId="0" applyFont="1" applyFill="1" applyAlignment="1">
      <alignment horizontal="center" wrapText="1"/>
    </xf>
    <xf numFmtId="0" fontId="4" fillId="8" borderId="1" xfId="0" applyFont="1" applyFill="1" applyBorder="1" applyAlignment="1">
      <alignment horizontal="left" vertical="top" wrapText="1"/>
    </xf>
    <xf numFmtId="0" fontId="8" fillId="8" borderId="1" xfId="0" applyFont="1" applyFill="1" applyBorder="1" applyAlignment="1">
      <alignment horizontal="left" vertical="top" wrapText="1"/>
    </xf>
    <xf numFmtId="0" fontId="10" fillId="16" borderId="1" xfId="0" applyFont="1" applyFill="1" applyBorder="1" applyAlignment="1">
      <alignment horizontal="left" vertical="top" wrapText="1"/>
    </xf>
    <xf numFmtId="0" fontId="10" fillId="8" borderId="0" xfId="0" applyFont="1" applyFill="1" applyAlignment="1">
      <alignment horizontal="right" vertical="top" wrapText="1"/>
    </xf>
    <xf numFmtId="0" fontId="10" fillId="17" borderId="1" xfId="0" applyFont="1" applyFill="1" applyBorder="1" applyAlignment="1">
      <alignment horizontal="left" vertical="top" wrapText="1"/>
    </xf>
    <xf numFmtId="0" fontId="10" fillId="6" borderId="0" xfId="0" applyFont="1" applyFill="1" applyAlignment="1">
      <alignment horizontal="center" vertical="top" wrapText="1"/>
    </xf>
    <xf numFmtId="0" fontId="4" fillId="6" borderId="0" xfId="3" applyFont="1" applyFill="1" applyAlignment="1">
      <alignment horizontal="left" vertical="top" wrapText="1"/>
    </xf>
    <xf numFmtId="170" fontId="12" fillId="0" borderId="0" xfId="2" applyNumberFormat="1" applyAlignment="1">
      <alignment horizontal="left"/>
    </xf>
    <xf numFmtId="0" fontId="12" fillId="0" borderId="10" xfId="2" applyBorder="1" applyAlignment="1">
      <alignment horizontal="center" vertical="center"/>
    </xf>
    <xf numFmtId="49" fontId="12" fillId="0" borderId="0" xfId="2" applyNumberFormat="1" applyAlignment="1" applyProtection="1">
      <alignment horizontal="left"/>
      <protection locked="0"/>
    </xf>
    <xf numFmtId="49" fontId="12" fillId="14" borderId="11" xfId="2" applyNumberFormat="1" applyFill="1" applyBorder="1" applyAlignment="1" applyProtection="1">
      <alignment horizontal="left" vertical="top" wrapText="1"/>
      <protection locked="0"/>
    </xf>
    <xf numFmtId="49" fontId="12" fillId="14" borderId="12" xfId="2" applyNumberFormat="1" applyFill="1" applyBorder="1" applyAlignment="1" applyProtection="1">
      <alignment horizontal="left" vertical="top" wrapText="1"/>
      <protection locked="0"/>
    </xf>
    <xf numFmtId="49" fontId="12" fillId="14" borderId="13" xfId="2" applyNumberFormat="1" applyFill="1" applyBorder="1" applyAlignment="1" applyProtection="1">
      <alignment horizontal="left" vertical="top" wrapText="1"/>
      <protection locked="0"/>
    </xf>
    <xf numFmtId="170" fontId="12" fillId="0" borderId="8" xfId="2" applyNumberFormat="1" applyBorder="1" applyAlignment="1">
      <alignment horizontal="left"/>
    </xf>
    <xf numFmtId="171" fontId="12" fillId="0" borderId="8" xfId="2" applyNumberFormat="1" applyBorder="1" applyAlignment="1">
      <alignment horizontal="left"/>
    </xf>
    <xf numFmtId="0" fontId="23" fillId="0" borderId="0" xfId="2" applyFont="1" applyAlignment="1">
      <alignment horizontal="left" vertical="center"/>
    </xf>
    <xf numFmtId="0" fontId="21" fillId="0" borderId="0" xfId="2" applyFont="1" applyAlignment="1">
      <alignment horizontal="left" vertical="center"/>
    </xf>
    <xf numFmtId="0" fontId="37" fillId="0" borderId="3" xfId="2" applyFont="1" applyBorder="1" applyAlignment="1">
      <alignment horizontal="center" vertical="center" wrapText="1"/>
    </xf>
    <xf numFmtId="0" fontId="12" fillId="0" borderId="3" xfId="2" applyBorder="1" applyAlignment="1">
      <alignment horizontal="left" vertical="center" wrapText="1"/>
    </xf>
    <xf numFmtId="0" fontId="30" fillId="0" borderId="0" xfId="2" applyFont="1" applyAlignment="1">
      <alignment horizontal="left" vertical="center" wrapText="1"/>
    </xf>
    <xf numFmtId="2" fontId="31" fillId="0" borderId="10" xfId="2" applyNumberFormat="1" applyFont="1" applyBorder="1" applyAlignment="1">
      <alignment horizontal="center" vertical="center"/>
    </xf>
    <xf numFmtId="0" fontId="33" fillId="0" borderId="0" xfId="2" applyFont="1" applyAlignment="1">
      <alignment horizontal="left" vertical="center" indent="1"/>
    </xf>
    <xf numFmtId="0" fontId="12" fillId="0" borderId="0" xfId="2" applyAlignment="1">
      <alignment horizontal="center" vertical="center"/>
    </xf>
    <xf numFmtId="0" fontId="34" fillId="0" borderId="0" xfId="37" applyFont="1" applyAlignment="1">
      <alignment horizontal="right" vertical="center"/>
    </xf>
    <xf numFmtId="0" fontId="35" fillId="0" borderId="0" xfId="37" applyFont="1" applyAlignment="1">
      <alignment horizontal="center"/>
    </xf>
    <xf numFmtId="0" fontId="34" fillId="0" borderId="0" xfId="37" quotePrefix="1" applyFont="1" applyAlignment="1">
      <alignment horizontal="left" vertical="center"/>
    </xf>
    <xf numFmtId="0" fontId="34" fillId="0" borderId="0" xfId="37" applyFont="1" applyAlignment="1">
      <alignment horizontal="left" vertical="center"/>
    </xf>
    <xf numFmtId="0" fontId="34" fillId="0" borderId="0" xfId="37" applyFont="1" applyAlignment="1">
      <alignment horizontal="center" vertical="top"/>
    </xf>
    <xf numFmtId="0" fontId="28" fillId="0" borderId="0" xfId="2" applyFont="1" applyAlignment="1">
      <alignment horizontal="center" vertical="top" wrapText="1"/>
    </xf>
    <xf numFmtId="0" fontId="12" fillId="0" borderId="3" xfId="2" applyBorder="1" applyAlignment="1">
      <alignment horizontal="left" vertical="center"/>
    </xf>
    <xf numFmtId="0" fontId="26" fillId="0" borderId="3" xfId="2" applyFont="1" applyBorder="1" applyAlignment="1">
      <alignment horizontal="left"/>
    </xf>
    <xf numFmtId="10" fontId="26" fillId="14" borderId="3" xfId="2" applyNumberFormat="1" applyFont="1" applyFill="1" applyBorder="1" applyAlignment="1" applyProtection="1">
      <alignment horizontal="center"/>
      <protection locked="0"/>
    </xf>
    <xf numFmtId="0" fontId="21" fillId="0" borderId="3" xfId="2" applyFont="1" applyBorder="1" applyAlignment="1">
      <alignment horizontal="center" vertical="center"/>
    </xf>
    <xf numFmtId="4" fontId="21" fillId="0" borderId="3" xfId="2" applyNumberFormat="1" applyFont="1" applyBorder="1" applyAlignment="1">
      <alignment horizontal="center" vertical="center" wrapText="1"/>
    </xf>
    <xf numFmtId="0" fontId="23" fillId="0" borderId="3" xfId="2" applyFont="1" applyBorder="1" applyAlignment="1">
      <alignment horizontal="center" vertical="center"/>
    </xf>
    <xf numFmtId="0" fontId="23" fillId="0" borderId="4" xfId="38" applyFont="1" applyBorder="1" applyAlignment="1">
      <alignment horizontal="left" vertical="top"/>
    </xf>
    <xf numFmtId="0" fontId="23" fillId="0" borderId="0" xfId="38" applyFont="1" applyAlignment="1">
      <alignment horizontal="left" vertical="top"/>
    </xf>
    <xf numFmtId="0" fontId="23" fillId="0" borderId="5" xfId="38" applyFont="1" applyBorder="1" applyAlignment="1">
      <alignment horizontal="left" vertical="top"/>
    </xf>
    <xf numFmtId="165" fontId="26" fillId="14" borderId="6" xfId="39" applyFont="1" applyFill="1" applyBorder="1" applyAlignment="1" applyProtection="1">
      <alignment horizontal="left"/>
      <protection locked="0"/>
    </xf>
    <xf numFmtId="165" fontId="26" fillId="14" borderId="8" xfId="39" applyFont="1" applyFill="1" applyBorder="1" applyAlignment="1" applyProtection="1">
      <alignment horizontal="left"/>
      <protection locked="0"/>
    </xf>
    <xf numFmtId="165" fontId="26" fillId="14" borderId="7" xfId="39" applyFont="1" applyFill="1" applyBorder="1" applyAlignment="1" applyProtection="1">
      <alignment horizontal="left"/>
      <protection locked="0"/>
    </xf>
    <xf numFmtId="0" fontId="12" fillId="0" borderId="6" xfId="2" applyBorder="1" applyAlignment="1">
      <alignment horizontal="center" vertical="top" wrapText="1"/>
    </xf>
    <xf numFmtId="0" fontId="12" fillId="0" borderId="7" xfId="2" applyBorder="1" applyAlignment="1">
      <alignment horizontal="center" vertical="top" wrapText="1"/>
    </xf>
    <xf numFmtId="0" fontId="26" fillId="0" borderId="3" xfId="2" applyFont="1" applyBorder="1" applyAlignment="1">
      <alignment horizontal="left" wrapText="1"/>
    </xf>
    <xf numFmtId="0" fontId="26" fillId="0" borderId="9" xfId="39" applyNumberFormat="1" applyFont="1" applyFill="1" applyBorder="1" applyAlignment="1" applyProtection="1">
      <alignment horizontal="left" wrapText="1"/>
    </xf>
    <xf numFmtId="0" fontId="12" fillId="0" borderId="6" xfId="2" applyBorder="1" applyAlignment="1">
      <alignment horizontal="left" vertical="top" wrapText="1"/>
    </xf>
    <xf numFmtId="0" fontId="12" fillId="0" borderId="7" xfId="2" applyBorder="1" applyAlignment="1">
      <alignment horizontal="left" vertical="top" wrapText="1"/>
    </xf>
    <xf numFmtId="49" fontId="12" fillId="0" borderId="6" xfId="2" applyNumberFormat="1" applyBorder="1" applyAlignment="1">
      <alignment horizontal="left" vertical="top" wrapText="1"/>
    </xf>
    <xf numFmtId="49" fontId="12" fillId="0" borderId="8" xfId="2" applyNumberFormat="1" applyBorder="1" applyAlignment="1">
      <alignment horizontal="left" vertical="top" wrapText="1"/>
    </xf>
    <xf numFmtId="49" fontId="12" fillId="0" borderId="7" xfId="2" applyNumberFormat="1" applyBorder="1" applyAlignment="1">
      <alignment horizontal="left" vertical="top" wrapText="1"/>
    </xf>
    <xf numFmtId="0" fontId="4" fillId="8" borderId="1" xfId="0" applyFont="1" applyFill="1" applyBorder="1" applyAlignment="1">
      <alignment horizontal="right" vertical="top" wrapText="1"/>
    </xf>
    <xf numFmtId="0" fontId="4" fillId="8" borderId="1" xfId="0" applyFont="1" applyFill="1" applyBorder="1" applyAlignment="1">
      <alignment horizontal="center" vertical="top" wrapText="1"/>
    </xf>
  </cellXfs>
  <cellStyles count="40">
    <cellStyle name="Excel Built-in Normal 2" xfId="13" xr:uid="{00000000-0005-0000-0000-000000000000}"/>
    <cellStyle name="Hiperlink 2" xfId="33" xr:uid="{00000000-0005-0000-0000-000001000000}"/>
    <cellStyle name="Hiperlink 3" xfId="35" xr:uid="{00000000-0005-0000-0000-000002000000}"/>
    <cellStyle name="Moeda 2" xfId="7" xr:uid="{00000000-0005-0000-0000-000003000000}"/>
    <cellStyle name="Moeda 2 2" xfId="17" xr:uid="{00000000-0005-0000-0000-000004000000}"/>
    <cellStyle name="Moeda 2 3" xfId="21" xr:uid="{00000000-0005-0000-0000-000005000000}"/>
    <cellStyle name="Moeda 2 3 2" xfId="26" xr:uid="{00000000-0005-0000-0000-000006000000}"/>
    <cellStyle name="Moeda 2 4" xfId="25" xr:uid="{00000000-0005-0000-0000-000007000000}"/>
    <cellStyle name="Moeda 2 5" xfId="12" xr:uid="{00000000-0005-0000-0000-000008000000}"/>
    <cellStyle name="Moeda 3" xfId="23" xr:uid="{00000000-0005-0000-0000-000009000000}"/>
    <cellStyle name="Moeda 3 2" xfId="31" xr:uid="{00000000-0005-0000-0000-00000A000000}"/>
    <cellStyle name="Moeda 4" xfId="5" xr:uid="{00000000-0005-0000-0000-00000B000000}"/>
    <cellStyle name="Moeda 4 2" xfId="36" xr:uid="{00000000-0005-0000-0000-00000C000000}"/>
    <cellStyle name="Moeda 4 3" xfId="8" xr:uid="{00000000-0005-0000-0000-00000D000000}"/>
    <cellStyle name="Moeda 6" xfId="34" xr:uid="{00000000-0005-0000-0000-00000E000000}"/>
    <cellStyle name="Moeda_Composicao BDI v2.1" xfId="39" xr:uid="{00000000-0005-0000-0000-00000F000000}"/>
    <cellStyle name="Normal" xfId="0" builtinId="0"/>
    <cellStyle name="Normal 2" xfId="2" xr:uid="{00000000-0005-0000-0000-000011000000}"/>
    <cellStyle name="Normal 2 2" xfId="15" xr:uid="{00000000-0005-0000-0000-000012000000}"/>
    <cellStyle name="Normal 2 3" xfId="20" xr:uid="{00000000-0005-0000-0000-000013000000}"/>
    <cellStyle name="Normal 3" xfId="14" xr:uid="{00000000-0005-0000-0000-000014000000}"/>
    <cellStyle name="Normal 4" xfId="22" xr:uid="{00000000-0005-0000-0000-000015000000}"/>
    <cellStyle name="Normal 5" xfId="3" xr:uid="{00000000-0005-0000-0000-000016000000}"/>
    <cellStyle name="Normal 6" xfId="1" xr:uid="{00000000-0005-0000-0000-000017000000}"/>
    <cellStyle name="Normal 6 2" xfId="9" xr:uid="{00000000-0005-0000-0000-000018000000}"/>
    <cellStyle name="Normal 7" xfId="27" xr:uid="{00000000-0005-0000-0000-000019000000}"/>
    <cellStyle name="Normal 8" xfId="4" xr:uid="{00000000-0005-0000-0000-00001A000000}"/>
    <cellStyle name="Normal 8 2" xfId="32" xr:uid="{00000000-0005-0000-0000-00001B000000}"/>
    <cellStyle name="Normal 8 2 2" xfId="37" xr:uid="{00000000-0005-0000-0000-00001C000000}"/>
    <cellStyle name="Normal 8 3" xfId="28" xr:uid="{00000000-0005-0000-0000-00001D000000}"/>
    <cellStyle name="Normal_FICHA DE VERIFICAÇÃO PRELIMINAR - Plano R" xfId="38" xr:uid="{00000000-0005-0000-0000-00001E000000}"/>
    <cellStyle name="Porcentagem 2" xfId="11" xr:uid="{00000000-0005-0000-0000-00001F000000}"/>
    <cellStyle name="Porcentagem 2 2" xfId="16" xr:uid="{00000000-0005-0000-0000-000020000000}"/>
    <cellStyle name="Porcentagem 4" xfId="10" xr:uid="{00000000-0005-0000-0000-000021000000}"/>
    <cellStyle name="Separador de milhares 2" xfId="18" xr:uid="{00000000-0005-0000-0000-000022000000}"/>
    <cellStyle name="Separador de milhares 2 2" xfId="19" xr:uid="{00000000-0005-0000-0000-000023000000}"/>
    <cellStyle name="Vírgula 2" xfId="6" xr:uid="{00000000-0005-0000-0000-000024000000}"/>
    <cellStyle name="Vírgula 2 2" xfId="29" xr:uid="{00000000-0005-0000-0000-000025000000}"/>
    <cellStyle name="Vírgula 2 3" xfId="30" xr:uid="{00000000-0005-0000-0000-000026000000}"/>
    <cellStyle name="Vírgula 2 4" xfId="24" xr:uid="{00000000-0005-0000-0000-000027000000}"/>
  </cellStyles>
  <dxfs count="7">
    <dxf>
      <font>
        <color theme="0"/>
      </font>
      <fill>
        <patternFill patternType="none">
          <bgColor indexed="65"/>
        </patternFill>
      </fill>
    </dxf>
    <dxf>
      <fill>
        <patternFill>
          <bgColor rgb="FFFFFF9E"/>
        </patternFill>
      </fill>
    </dxf>
    <dxf>
      <font>
        <condense val="0"/>
        <extend val="0"/>
        <color indexed="17"/>
      </font>
      <border>
        <left style="thin">
          <color indexed="64"/>
        </left>
        <right style="thin">
          <color indexed="64"/>
        </right>
        <top style="thin">
          <color indexed="64"/>
        </top>
        <bottom style="thin">
          <color indexed="64"/>
        </bottom>
      </border>
    </dxf>
    <dxf>
      <font>
        <condense val="0"/>
        <extend val="0"/>
        <color indexed="10"/>
      </font>
      <border>
        <left style="thin">
          <color indexed="64"/>
        </left>
        <right style="thin">
          <color indexed="64"/>
        </right>
        <top style="thin">
          <color indexed="64"/>
        </top>
        <bottom style="thin">
          <color indexed="64"/>
        </bottom>
      </border>
    </dxf>
    <dxf>
      <font>
        <color theme="0"/>
      </font>
      <fill>
        <patternFill>
          <bgColor theme="0"/>
        </patternFill>
      </fill>
      <border>
        <left/>
        <right/>
        <top/>
        <bottom/>
      </border>
    </dxf>
    <dxf>
      <font>
        <b/>
        <i val="0"/>
        <color theme="1"/>
      </font>
      <fill>
        <patternFill>
          <bgColor theme="0" tint="-0.14996795556505021"/>
        </patternFill>
      </fill>
      <border>
        <left style="thin">
          <color indexed="64"/>
        </left>
        <right style="thin">
          <color indexed="64"/>
        </right>
        <top style="thin">
          <color indexed="64"/>
        </top>
        <bottom style="thin">
          <color indexed="64"/>
        </bottom>
      </border>
    </dxf>
    <dxf>
      <font>
        <b/>
        <i val="0"/>
      </font>
      <fill>
        <patternFill>
          <bgColor theme="0" tint="-0.1499679555650502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149886</xdr:colOff>
      <xdr:row>277</xdr:row>
      <xdr:rowOff>0</xdr:rowOff>
    </xdr:from>
    <xdr:to>
      <xdr:col>3</xdr:col>
      <xdr:colOff>1212850</xdr:colOff>
      <xdr:row>280</xdr:row>
      <xdr:rowOff>438150</xdr:rowOff>
    </xdr:to>
    <xdr:sp macro="" textlink="">
      <xdr:nvSpPr>
        <xdr:cNvPr id="2" name="CaixaDeTexto 1">
          <a:extLst>
            <a:ext uri="{FF2B5EF4-FFF2-40B4-BE49-F238E27FC236}">
              <a16:creationId xmlns:a16="http://schemas.microsoft.com/office/drawing/2014/main" id="{00000000-0008-0000-0000-000002000000}"/>
            </a:ext>
          </a:extLst>
        </xdr:cNvPr>
        <xdr:cNvSpPr txBox="1"/>
      </xdr:nvSpPr>
      <xdr:spPr>
        <a:xfrm>
          <a:off x="616611" y="72313801"/>
          <a:ext cx="2367889" cy="1323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t-BR" sz="1100" b="1"/>
            <a:t>BANCOS:</a:t>
          </a:r>
        </a:p>
        <a:p>
          <a:r>
            <a:rPr lang="pt-BR" sz="1100" b="1"/>
            <a:t>SINAPI - 02/2025 - São Paulo</a:t>
          </a:r>
        </a:p>
        <a:p>
          <a:r>
            <a:rPr lang="pt-BR" sz="1100" b="1"/>
            <a:t>SBC - 04/2025 - São Paulo</a:t>
          </a:r>
        </a:p>
        <a:p>
          <a:r>
            <a:rPr lang="pt-BR" sz="1100" b="1"/>
            <a:t>SIURB - 07/2024 - São Paulo</a:t>
          </a:r>
        </a:p>
        <a:p>
          <a:r>
            <a:rPr lang="pt-BR" sz="1100" b="1"/>
            <a:t>SIURB INFRA - 07/2024 - São Paulo</a:t>
          </a:r>
        </a:p>
        <a:p>
          <a:r>
            <a:rPr lang="pt-BR" sz="1100" b="1"/>
            <a:t>CPOS/CDHU - 04/2025 - São Paulo</a:t>
          </a:r>
        </a:p>
        <a:p>
          <a:r>
            <a:rPr lang="pt-BR" sz="1100" b="1"/>
            <a:t>FDE - 01/2025 - São Paulo</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422414</xdr:colOff>
      <xdr:row>1</xdr:row>
      <xdr:rowOff>132521</xdr:rowOff>
    </xdr:from>
    <xdr:to>
      <xdr:col>5</xdr:col>
      <xdr:colOff>1007166</xdr:colOff>
      <xdr:row>3</xdr:row>
      <xdr:rowOff>736866</xdr:rowOff>
    </xdr:to>
    <xdr:pic>
      <xdr:nvPicPr>
        <xdr:cNvPr id="2" name="Imagem 1">
          <a:extLst>
            <a:ext uri="{FF2B5EF4-FFF2-40B4-BE49-F238E27FC236}">
              <a16:creationId xmlns:a16="http://schemas.microsoft.com/office/drawing/2014/main" id="{5C74B6F3-4082-4572-B248-F17F5785A58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86262" y="323021"/>
          <a:ext cx="1371600" cy="9770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4371975</xdr:colOff>
      <xdr:row>0</xdr:row>
      <xdr:rowOff>104775</xdr:rowOff>
    </xdr:from>
    <xdr:to>
      <xdr:col>5</xdr:col>
      <xdr:colOff>666750</xdr:colOff>
      <xdr:row>1</xdr:row>
      <xdr:rowOff>891337</xdr:rowOff>
    </xdr:to>
    <xdr:pic>
      <xdr:nvPicPr>
        <xdr:cNvPr id="2" name="Imagem 1">
          <a:extLst>
            <a:ext uri="{FF2B5EF4-FFF2-40B4-BE49-F238E27FC236}">
              <a16:creationId xmlns:a16="http://schemas.microsoft.com/office/drawing/2014/main" id="{AD2EB36A-44E0-4F92-AD17-AD1B648EA55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91300" y="104775"/>
          <a:ext cx="1371600" cy="9770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16</xdr:col>
          <xdr:colOff>314325</xdr:colOff>
          <xdr:row>0</xdr:row>
          <xdr:rowOff>28575</xdr:rowOff>
        </xdr:from>
        <xdr:to>
          <xdr:col>17</xdr:col>
          <xdr:colOff>647700</xdr:colOff>
          <xdr:row>1</xdr:row>
          <xdr:rowOff>171450</xdr:rowOff>
        </xdr:to>
        <xdr:pic>
          <xdr:nvPicPr>
            <xdr:cNvPr id="2" name="SigiloPic">
              <a:extLst>
                <a:ext uri="{FF2B5EF4-FFF2-40B4-BE49-F238E27FC236}">
                  <a16:creationId xmlns:a16="http://schemas.microsoft.com/office/drawing/2014/main" id="{C339FB11-E5A7-4F36-8CCF-3A3079158509}"/>
                </a:ext>
              </a:extLst>
            </xdr:cNvPr>
            <xdr:cNvPicPr>
              <a:picLocks noChangeArrowheads="1"/>
              <a:extLst>
                <a:ext uri="{84589F7E-364E-4C9E-8A38-B11213B215E9}">
                  <a14:cameraTool cellRange="[7]PO!$T$1:$T$2" spid="_x0000_s6185"/>
                </a:ext>
              </a:extLst>
            </xdr:cNvPicPr>
          </xdr:nvPicPr>
          <xdr:blipFill>
            <a:blip xmlns:r="http://schemas.openxmlformats.org/officeDocument/2006/relationships" r:embed="rId1"/>
            <a:srcRect/>
            <a:stretch>
              <a:fillRect/>
            </a:stretch>
          </xdr:blipFill>
          <xdr:spPr bwMode="auto">
            <a:xfrm>
              <a:off x="6753225" y="28575"/>
              <a:ext cx="1047750" cy="3333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2</xdr:col>
      <xdr:colOff>3819525</xdr:colOff>
      <xdr:row>1</xdr:row>
      <xdr:rowOff>231775</xdr:rowOff>
    </xdr:from>
    <xdr:to>
      <xdr:col>3</xdr:col>
      <xdr:colOff>619125</xdr:colOff>
      <xdr:row>3</xdr:row>
      <xdr:rowOff>2337</xdr:rowOff>
    </xdr:to>
    <xdr:pic>
      <xdr:nvPicPr>
        <xdr:cNvPr id="2" name="Imagem 1">
          <a:extLst>
            <a:ext uri="{FF2B5EF4-FFF2-40B4-BE49-F238E27FC236}">
              <a16:creationId xmlns:a16="http://schemas.microsoft.com/office/drawing/2014/main" id="{89FC5181-6D0E-4DBF-BA46-1070F2BC952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43525" y="422275"/>
          <a:ext cx="1371600" cy="9770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idor\gelfus\Marcos%20da%20Rocha%20Batista\Topografia\CORREGO%20ITAQUERA%20E%20ITAQUERUNA%20-%20QUEIROZ\TECLA-Planilha_cronograma_ALTERAD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R-GELFUS\Projetos\OR&#199;AMENTOS\PREFEITURA%20SANTA%20GERTRUDES\QUADRA%20DE%20ESPORTES%20JD.%20JEQUITIBAS\PROJETO%20FECHAMENTO%20E%20REFORMA%202019\051%20-%20O%20-%201811%20-%2072%20-%20001_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TR-GELFUS\Projetos\OR&#199;AMENTOS\PREFEITURA%20SANTA%20GERTRUDES\QUADRA%20DE%20ESPORTES%20JD.%20JEQUITIBAS\PROJETO%20FECHAMENTO%20E%20REFORMA%202019\052%20-%20O%20-%201811%20-%2072%20-%20001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68%20-%20O%20-%202660%20-%2035%20-%20001_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Y:\OR&#199;AMENTOS\PREFEITURA%20DE%20SAO%20PEDRO\ESCOLAS\EMEB%20DRA%20HALINA%20BUBA%20BALDON\185%20-%20O%20-%201965%20-%2020%20-%20001_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ERMINAL-8/Desktop/Nova%20pasta/&#225;rea%20de%20trabalho/052%20-%20O%20-%202571%20-%2020%20-%20001_2.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TR-GELFUS\Projetos\Users\TERMINAL%2005\Desktop\planilha%20m\CALCULADORA%20BD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ONG Resumo"/>
      <sheetName val="PLANILHA PREÇOS E QTES"/>
      <sheetName val="Cronograma"/>
      <sheetName val="Resumo de serviços"/>
      <sheetName val="Composição de serviços Teorico"/>
      <sheetName val="PREÇOS"/>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sheetName val="BDI (1)"/>
      <sheetName val="BDI (2)"/>
      <sheetName val="BDI (3)"/>
      <sheetName val="PO"/>
      <sheetName val="PLQ"/>
      <sheetName val="CFF"/>
      <sheetName val="051 - O - 1811 - 72 - 001_0"/>
    </sheetNames>
    <definedNames>
      <definedName name="linhaSINAPIxls" refersTo="='PO'!$X1" sheetId="4"/>
    </definedNames>
    <sheetDataSet>
      <sheetData sheetId="0" refreshError="1">
        <row r="38">
          <cell r="A38">
            <v>43556</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sheetName val="BDI (1)"/>
      <sheetName val="BDI (2)"/>
      <sheetName val="BDI (3)"/>
      <sheetName val="PO"/>
      <sheetName val="PLQ"/>
      <sheetName val="CFF"/>
    </sheetNames>
    <definedNames>
      <definedName name="linhaSINAPIxls" refersTo="='PO'!$X1" sheetId="4"/>
    </definedNames>
    <sheetDataSet>
      <sheetData sheetId="0"/>
      <sheetData sheetId="1"/>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tacas Mureta"/>
      <sheetName val="Vb bloco  mureta"/>
      <sheetName val="Estacas"/>
      <sheetName val="Blocos"/>
      <sheetName val="Vigas Baldrames "/>
      <sheetName val="Vigas ESCADA+RAMPA"/>
      <sheetName val="Grout"/>
      <sheetName val="Grout MURETA"/>
      <sheetName val="Pilar"/>
      <sheetName val="Beiral"/>
      <sheetName val="Laje"/>
      <sheetName val="Alvenarias e Fechamentos"/>
      <sheetName val="Coberturas"/>
      <sheetName val="Esquadrias"/>
      <sheetName val="Fachadas"/>
      <sheetName val="Acabamentos"/>
      <sheetName val="Louças e Metais"/>
      <sheetName val="Diversos"/>
    </sheetNames>
    <sheetDataSet>
      <sheetData sheetId="0">
        <row r="11">
          <cell r="F11">
            <v>123</v>
          </cell>
        </row>
      </sheetData>
      <sheetData sheetId="1">
        <row r="15">
          <cell r="H15">
            <v>19.331249999999997</v>
          </cell>
          <cell r="I15">
            <v>35.875</v>
          </cell>
          <cell r="N15">
            <v>56.375000000000007</v>
          </cell>
          <cell r="O15">
            <v>14.462499999999999</v>
          </cell>
          <cell r="P15">
            <v>6.329374999999998</v>
          </cell>
        </row>
      </sheetData>
      <sheetData sheetId="2">
        <row r="11">
          <cell r="F11">
            <v>85</v>
          </cell>
          <cell r="G11">
            <v>4.172427743048944</v>
          </cell>
        </row>
      </sheetData>
      <sheetData sheetId="3">
        <row r="15">
          <cell r="H15">
            <v>4.056</v>
          </cell>
          <cell r="I15">
            <v>3.5200000000000005</v>
          </cell>
          <cell r="J15">
            <v>0.17600000000000005</v>
          </cell>
          <cell r="K15">
            <v>5.2</v>
          </cell>
          <cell r="L15">
            <v>1.2</v>
          </cell>
          <cell r="M15">
            <v>2.6799999999999997</v>
          </cell>
          <cell r="N15">
            <v>1.7888000000000004</v>
          </cell>
        </row>
      </sheetData>
      <sheetData sheetId="4">
        <row r="15">
          <cell r="H15">
            <v>8.5297499999999999</v>
          </cell>
          <cell r="I15">
            <v>9.1750000000000007</v>
          </cell>
          <cell r="J15">
            <v>0.45875000000000005</v>
          </cell>
          <cell r="K15">
            <v>13.14</v>
          </cell>
          <cell r="L15">
            <v>1.4384999999999999</v>
          </cell>
          <cell r="N15">
            <v>15.329999999999998</v>
          </cell>
          <cell r="O15">
            <v>6.6325000000000003</v>
          </cell>
          <cell r="P15">
            <v>2.466425000000001</v>
          </cell>
        </row>
      </sheetData>
      <sheetData sheetId="5"/>
      <sheetData sheetId="6">
        <row r="14">
          <cell r="F14">
            <v>2.6818739999999996</v>
          </cell>
        </row>
      </sheetData>
      <sheetData sheetId="7">
        <row r="14">
          <cell r="F14">
            <v>3.8283750000000003</v>
          </cell>
        </row>
      </sheetData>
      <sheetData sheetId="8">
        <row r="14">
          <cell r="G14">
            <v>6.7008000000000001</v>
          </cell>
          <cell r="H14">
            <v>60.356000000000002</v>
          </cell>
        </row>
      </sheetData>
      <sheetData sheetId="9">
        <row r="13">
          <cell r="H13">
            <v>0.5181</v>
          </cell>
          <cell r="I13">
            <v>6.7450000000000001</v>
          </cell>
        </row>
      </sheetData>
      <sheetData sheetId="10">
        <row r="8">
          <cell r="D8">
            <v>12.375</v>
          </cell>
        </row>
      </sheetData>
      <sheetData sheetId="11">
        <row r="8">
          <cell r="D8">
            <v>109.669</v>
          </cell>
        </row>
        <row r="10">
          <cell r="D10">
            <v>61.5</v>
          </cell>
        </row>
      </sheetData>
      <sheetData sheetId="12">
        <row r="10">
          <cell r="H10">
            <v>13.8</v>
          </cell>
          <cell r="I10">
            <v>42.500000000000007</v>
          </cell>
        </row>
        <row r="20">
          <cell r="D20">
            <v>102.81</v>
          </cell>
        </row>
      </sheetData>
      <sheetData sheetId="13">
        <row r="8">
          <cell r="E8">
            <v>3.7884000000000002</v>
          </cell>
          <cell r="N8">
            <v>1.722</v>
          </cell>
        </row>
        <row r="9">
          <cell r="K9">
            <v>1</v>
          </cell>
        </row>
        <row r="10">
          <cell r="E10">
            <v>6.0720000000000001</v>
          </cell>
        </row>
        <row r="11">
          <cell r="N11">
            <v>0.36</v>
          </cell>
        </row>
        <row r="12">
          <cell r="N12">
            <v>2.4</v>
          </cell>
        </row>
        <row r="13">
          <cell r="N13">
            <v>1.9</v>
          </cell>
        </row>
        <row r="14">
          <cell r="E14">
            <v>2.76</v>
          </cell>
        </row>
        <row r="15">
          <cell r="E15">
            <v>1.9</v>
          </cell>
        </row>
        <row r="30">
          <cell r="E30">
            <v>1.7599999999999998</v>
          </cell>
        </row>
        <row r="38">
          <cell r="E38">
            <v>5.14</v>
          </cell>
        </row>
      </sheetData>
      <sheetData sheetId="14">
        <row r="10">
          <cell r="C10">
            <v>110.61750000000001</v>
          </cell>
        </row>
      </sheetData>
      <sheetData sheetId="15">
        <row r="10">
          <cell r="D10">
            <v>9.5</v>
          </cell>
        </row>
        <row r="63">
          <cell r="D63">
            <v>33.599999999999994</v>
          </cell>
        </row>
        <row r="64">
          <cell r="D64">
            <v>19.200000000000003</v>
          </cell>
        </row>
        <row r="120">
          <cell r="D120">
            <v>9.5</v>
          </cell>
        </row>
        <row r="121">
          <cell r="D121">
            <v>89</v>
          </cell>
        </row>
      </sheetData>
      <sheetData sheetId="16"/>
      <sheetData sheetId="1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sintetica"/>
      <sheetName val="Memória de Cálculo"/>
      <sheetName val="Orçamento Analítico"/>
      <sheetName val="CRONOG"/>
      <sheetName val="BDI"/>
      <sheetName val="Curva ABC de Insumos"/>
      <sheetName val="COTAÇÕES"/>
    </sheetNames>
    <sheetDataSet>
      <sheetData sheetId="0"/>
      <sheetData sheetId="1"/>
      <sheetData sheetId="2"/>
      <sheetData sheetId="3"/>
      <sheetData sheetId="4">
        <row r="27">
          <cell r="N27">
            <v>0.28820000000000001</v>
          </cell>
        </row>
      </sheetData>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çamento Sintético"/>
      <sheetName val="Memorial de Cálculo"/>
      <sheetName val="CROQUI BOTA-FORA"/>
      <sheetName val="Orçamento Analítico"/>
      <sheetName val="CRONOG"/>
      <sheetName val="BDI"/>
      <sheetName val="Curva ABC de Insumos"/>
      <sheetName val="BDI (2)"/>
    </sheetNames>
    <sheetDataSet>
      <sheetData sheetId="0"/>
      <sheetData sheetId="1"/>
      <sheetData sheetId="2"/>
      <sheetData sheetId="3"/>
      <sheetData sheetId="4"/>
      <sheetData sheetId="5">
        <row r="27">
          <cell r="N27">
            <v>0.28820000000000001</v>
          </cell>
        </row>
      </sheetData>
      <sheetData sheetId="6"/>
      <sheetData sheetId="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sheetName val="BDI (1)"/>
      <sheetName val="BDI (2)"/>
      <sheetName val="BDI (3)"/>
      <sheetName val="PO"/>
      <sheetName val="PLQ"/>
      <sheetName val="CFF"/>
    </sheetNames>
    <sheetDataSet>
      <sheetData sheetId="0">
        <row r="38">
          <cell r="C38" t="str">
            <v>Sim</v>
          </cell>
        </row>
        <row r="55">
          <cell r="B55" t="str">
            <v>Engenheiro Civil</v>
          </cell>
        </row>
        <row r="56">
          <cell r="A56" t="str">
            <v>CREA/CAU:</v>
          </cell>
        </row>
        <row r="57">
          <cell r="A57" t="str">
            <v>ART/RRT:</v>
          </cell>
        </row>
      </sheetData>
      <sheetData sheetId="1"/>
      <sheetData sheetId="2"/>
      <sheetData sheetId="3"/>
      <sheetData sheetId="4">
        <row r="230">
          <cell r="K230">
            <v>44050</v>
          </cell>
        </row>
      </sheetData>
      <sheetData sheetId="5"/>
      <sheetData sheetId="6"/>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P281"/>
  <sheetViews>
    <sheetView tabSelected="1" view="pageBreakPreview" zoomScaleNormal="100" zoomScaleSheetLayoutView="100" workbookViewId="0">
      <selection activeCell="A13" sqref="A13"/>
    </sheetView>
  </sheetViews>
  <sheetFormatPr defaultColWidth="9" defaultRowHeight="14.25" x14ac:dyDescent="0.2"/>
  <cols>
    <col min="1" max="1" width="6.125" style="2" customWidth="1"/>
    <col min="2" max="2" width="10" style="2" bestFit="1" customWidth="1"/>
    <col min="3" max="3" width="7.125" style="2" customWidth="1"/>
    <col min="4" max="4" width="60" style="2" bestFit="1" customWidth="1"/>
    <col min="5" max="5" width="8" style="2" bestFit="1" customWidth="1"/>
    <col min="6" max="6" width="10.125" style="2" customWidth="1"/>
    <col min="7" max="7" width="11.25" style="2" customWidth="1"/>
    <col min="8" max="8" width="11" style="2" customWidth="1"/>
    <col min="9" max="9" width="11.875" style="2" customWidth="1"/>
    <col min="10" max="10" width="13" style="2" bestFit="1" customWidth="1"/>
    <col min="11" max="16384" width="9" style="2"/>
  </cols>
  <sheetData>
    <row r="2" spans="1:16" ht="15.75" x14ac:dyDescent="0.2">
      <c r="A2" s="16" t="s">
        <v>769</v>
      </c>
      <c r="B2" s="7"/>
      <c r="C2" s="7"/>
      <c r="D2" s="7"/>
      <c r="E2" s="7"/>
      <c r="F2" s="7"/>
      <c r="G2" s="7"/>
      <c r="H2" s="7"/>
      <c r="I2" s="7"/>
      <c r="J2" s="7"/>
    </row>
    <row r="3" spans="1:16" ht="15.75" x14ac:dyDescent="0.2">
      <c r="A3" s="16" t="s">
        <v>570</v>
      </c>
      <c r="B3" s="7"/>
      <c r="C3" s="7"/>
      <c r="D3" s="7"/>
      <c r="E3" s="7"/>
      <c r="F3" s="7"/>
      <c r="G3" s="7"/>
      <c r="H3" s="13" t="s">
        <v>22</v>
      </c>
      <c r="I3" s="74">
        <f>BDI!N27</f>
        <v>0.28820000000000001</v>
      </c>
      <c r="J3" s="7"/>
    </row>
    <row r="4" spans="1:16" ht="15.75" x14ac:dyDescent="0.2">
      <c r="A4" s="16"/>
      <c r="B4" s="7"/>
      <c r="C4" s="7"/>
      <c r="D4" s="7"/>
      <c r="E4" s="7"/>
      <c r="F4" s="7"/>
      <c r="G4" s="7"/>
      <c r="H4" s="7"/>
      <c r="I4" s="7"/>
      <c r="J4" s="7"/>
    </row>
    <row r="5" spans="1:16" ht="15.75" x14ac:dyDescent="0.2">
      <c r="A5" s="16"/>
      <c r="B5" s="7"/>
      <c r="C5" s="7"/>
      <c r="D5" s="7"/>
      <c r="E5" s="7"/>
      <c r="F5" s="7"/>
      <c r="G5" s="7"/>
      <c r="H5" s="7"/>
      <c r="I5" s="7"/>
      <c r="J5" s="7"/>
    </row>
    <row r="6" spans="1:16" ht="15.75" x14ac:dyDescent="0.2">
      <c r="A6" s="16"/>
      <c r="B6" s="7"/>
      <c r="C6" s="7"/>
      <c r="D6" s="7"/>
      <c r="E6" s="7"/>
      <c r="F6" s="7"/>
      <c r="G6" s="7"/>
      <c r="H6" s="7"/>
      <c r="I6" s="7"/>
      <c r="J6" s="7"/>
    </row>
    <row r="7" spans="1:16" x14ac:dyDescent="0.2">
      <c r="A7" s="7"/>
      <c r="B7" s="7"/>
      <c r="C7" s="7"/>
      <c r="D7" s="7"/>
      <c r="E7" s="7"/>
      <c r="F7" s="7"/>
      <c r="G7" s="7"/>
      <c r="H7" s="7"/>
      <c r="I7" s="7"/>
      <c r="J7" s="7"/>
    </row>
    <row r="8" spans="1:16" x14ac:dyDescent="0.2">
      <c r="A8" s="108" t="s">
        <v>23</v>
      </c>
      <c r="B8" s="109"/>
      <c r="C8" s="109"/>
      <c r="D8" s="109"/>
      <c r="E8" s="109"/>
      <c r="F8" s="109"/>
      <c r="G8" s="109"/>
      <c r="H8" s="109"/>
      <c r="I8" s="109"/>
      <c r="J8" s="109"/>
      <c r="P8"/>
    </row>
    <row r="9" spans="1:16" x14ac:dyDescent="0.2">
      <c r="A9" s="110"/>
      <c r="B9" s="110"/>
      <c r="C9" s="110"/>
      <c r="D9" s="110"/>
      <c r="E9" s="110"/>
      <c r="F9" s="110"/>
      <c r="G9" s="110"/>
      <c r="H9" s="110"/>
      <c r="I9" s="110"/>
    </row>
    <row r="10" spans="1:16" ht="30" x14ac:dyDescent="0.2">
      <c r="A10" s="75" t="s">
        <v>1</v>
      </c>
      <c r="B10" s="17" t="s">
        <v>11</v>
      </c>
      <c r="C10" s="75" t="s">
        <v>12</v>
      </c>
      <c r="D10" s="75" t="s">
        <v>2</v>
      </c>
      <c r="E10" s="76" t="s">
        <v>3</v>
      </c>
      <c r="F10" s="17" t="s">
        <v>4</v>
      </c>
      <c r="G10" s="17" t="s">
        <v>13</v>
      </c>
      <c r="H10" s="17" t="s">
        <v>16</v>
      </c>
      <c r="I10" s="17" t="s">
        <v>17</v>
      </c>
      <c r="J10" s="17" t="s">
        <v>18</v>
      </c>
    </row>
    <row r="11" spans="1:16" x14ac:dyDescent="0.2">
      <c r="A11" s="18" t="s">
        <v>24</v>
      </c>
      <c r="B11" s="18"/>
      <c r="C11" s="18"/>
      <c r="D11" s="18" t="s">
        <v>25</v>
      </c>
      <c r="E11" s="18"/>
      <c r="F11" s="39"/>
      <c r="G11" s="18"/>
      <c r="H11" s="18"/>
      <c r="I11" s="80">
        <v>84966.6</v>
      </c>
      <c r="J11" s="81">
        <f t="shared" ref="J11:J74" si="0">I11 / 896518.46</f>
        <v>9.4773954793970452E-2</v>
      </c>
    </row>
    <row r="12" spans="1:16" x14ac:dyDescent="0.2">
      <c r="A12" s="18" t="s">
        <v>26</v>
      </c>
      <c r="B12" s="18"/>
      <c r="C12" s="18"/>
      <c r="D12" s="18" t="s">
        <v>27</v>
      </c>
      <c r="E12" s="18"/>
      <c r="F12" s="39"/>
      <c r="G12" s="18"/>
      <c r="H12" s="18"/>
      <c r="I12" s="80">
        <v>30181.67</v>
      </c>
      <c r="J12" s="81">
        <f t="shared" si="0"/>
        <v>3.3665419449366386E-2</v>
      </c>
    </row>
    <row r="13" spans="1:16" ht="75" customHeight="1" x14ac:dyDescent="0.2">
      <c r="A13" s="19" t="s">
        <v>28</v>
      </c>
      <c r="B13" s="20" t="s">
        <v>29</v>
      </c>
      <c r="C13" s="19" t="s">
        <v>15</v>
      </c>
      <c r="D13" s="19" t="s">
        <v>30</v>
      </c>
      <c r="E13" s="21" t="s">
        <v>5</v>
      </c>
      <c r="F13" s="20">
        <v>4.5</v>
      </c>
      <c r="G13" s="82">
        <v>199.68</v>
      </c>
      <c r="H13" s="82">
        <f>TRUNC(G13 * (1 + 28.82 / 100), 2)</f>
        <v>257.22000000000003</v>
      </c>
      <c r="I13" s="82">
        <f>TRUNC(F13 * H13, 2)</f>
        <v>1157.49</v>
      </c>
      <c r="J13" s="83">
        <f t="shared" si="0"/>
        <v>1.29109444104475E-3</v>
      </c>
    </row>
    <row r="14" spans="1:16" ht="25.5" x14ac:dyDescent="0.2">
      <c r="A14" s="19" t="s">
        <v>658</v>
      </c>
      <c r="B14" s="20" t="s">
        <v>672</v>
      </c>
      <c r="C14" s="19" t="s">
        <v>15</v>
      </c>
      <c r="D14" s="19" t="s">
        <v>571</v>
      </c>
      <c r="E14" s="21" t="s">
        <v>5</v>
      </c>
      <c r="F14" s="20">
        <v>217.98</v>
      </c>
      <c r="G14" s="82">
        <v>82.28</v>
      </c>
      <c r="H14" s="82">
        <f>TRUNC(G14 * (1 + 28.82 / 100), 2)</f>
        <v>105.99</v>
      </c>
      <c r="I14" s="82">
        <f>TRUNC(F14 * H14, 2)</f>
        <v>23103.7</v>
      </c>
      <c r="J14" s="83">
        <f t="shared" si="0"/>
        <v>2.5770467682282864E-2</v>
      </c>
    </row>
    <row r="15" spans="1:16" ht="25.5" x14ac:dyDescent="0.2">
      <c r="A15" s="19" t="s">
        <v>33</v>
      </c>
      <c r="B15" s="20" t="s">
        <v>34</v>
      </c>
      <c r="C15" s="19" t="s">
        <v>15</v>
      </c>
      <c r="D15" s="19" t="s">
        <v>35</v>
      </c>
      <c r="E15" s="21" t="s">
        <v>36</v>
      </c>
      <c r="F15" s="20">
        <v>3</v>
      </c>
      <c r="G15" s="82">
        <v>951.24</v>
      </c>
      <c r="H15" s="82">
        <f>TRUNC(G15 * (1 + 28.82 / 100), 2)</f>
        <v>1225.3800000000001</v>
      </c>
      <c r="I15" s="82">
        <f>TRUNC(F15 * H15, 2)</f>
        <v>3676.14</v>
      </c>
      <c r="J15" s="83">
        <f t="shared" si="0"/>
        <v>4.1004621366078735E-3</v>
      </c>
    </row>
    <row r="16" spans="1:16" ht="25.5" x14ac:dyDescent="0.2">
      <c r="A16" s="19" t="s">
        <v>37</v>
      </c>
      <c r="B16" s="20" t="s">
        <v>38</v>
      </c>
      <c r="C16" s="19" t="s">
        <v>15</v>
      </c>
      <c r="D16" s="19" t="s">
        <v>39</v>
      </c>
      <c r="E16" s="21" t="s">
        <v>5</v>
      </c>
      <c r="F16" s="20">
        <v>102.81</v>
      </c>
      <c r="G16" s="82">
        <v>16.95</v>
      </c>
      <c r="H16" s="82">
        <f>TRUNC(G16 * (1 + 28.82 / 100), 2)</f>
        <v>21.83</v>
      </c>
      <c r="I16" s="82">
        <f>TRUNC(F16 * H16, 2)</f>
        <v>2244.34</v>
      </c>
      <c r="J16" s="83">
        <f t="shared" si="0"/>
        <v>2.5033951894309018E-3</v>
      </c>
    </row>
    <row r="17" spans="1:10" x14ac:dyDescent="0.2">
      <c r="A17" s="18" t="s">
        <v>40</v>
      </c>
      <c r="B17" s="18"/>
      <c r="C17" s="18"/>
      <c r="D17" s="18" t="s">
        <v>41</v>
      </c>
      <c r="E17" s="18"/>
      <c r="F17" s="39"/>
      <c r="G17" s="18"/>
      <c r="H17" s="18"/>
      <c r="I17" s="80">
        <v>2669.38</v>
      </c>
      <c r="J17" s="81">
        <f t="shared" si="0"/>
        <v>2.9774958565828083E-3</v>
      </c>
    </row>
    <row r="18" spans="1:10" ht="25.5" x14ac:dyDescent="0.2">
      <c r="A18" s="19" t="s">
        <v>42</v>
      </c>
      <c r="B18" s="20" t="s">
        <v>43</v>
      </c>
      <c r="C18" s="19" t="s">
        <v>15</v>
      </c>
      <c r="D18" s="19" t="s">
        <v>44</v>
      </c>
      <c r="E18" s="21" t="s">
        <v>32</v>
      </c>
      <c r="F18" s="20">
        <v>2</v>
      </c>
      <c r="G18" s="82">
        <v>1036.0899999999999</v>
      </c>
      <c r="H18" s="82">
        <f>TRUNC(G18 * (1 + 28.82 / 100), 2)</f>
        <v>1334.69</v>
      </c>
      <c r="I18" s="82">
        <f>TRUNC(F18 * H18, 2)</f>
        <v>2669.38</v>
      </c>
      <c r="J18" s="83">
        <f t="shared" si="0"/>
        <v>2.9774958565828083E-3</v>
      </c>
    </row>
    <row r="19" spans="1:10" x14ac:dyDescent="0.2">
      <c r="A19" s="18" t="s">
        <v>45</v>
      </c>
      <c r="B19" s="18"/>
      <c r="C19" s="18"/>
      <c r="D19" s="18" t="s">
        <v>46</v>
      </c>
      <c r="E19" s="18"/>
      <c r="F19" s="39"/>
      <c r="G19" s="18"/>
      <c r="H19" s="18"/>
      <c r="I19" s="80">
        <v>52115.55</v>
      </c>
      <c r="J19" s="81">
        <f t="shared" si="0"/>
        <v>5.8131039488021258E-2</v>
      </c>
    </row>
    <row r="20" spans="1:10" ht="25.5" x14ac:dyDescent="0.2">
      <c r="A20" s="19" t="s">
        <v>47</v>
      </c>
      <c r="B20" s="20" t="s">
        <v>48</v>
      </c>
      <c r="C20" s="19" t="s">
        <v>15</v>
      </c>
      <c r="D20" s="19" t="s">
        <v>49</v>
      </c>
      <c r="E20" s="21" t="s">
        <v>50</v>
      </c>
      <c r="F20" s="20">
        <v>1.08</v>
      </c>
      <c r="G20" s="82">
        <v>371.4</v>
      </c>
      <c r="H20" s="82">
        <f t="shared" ref="H20:H31" si="1">TRUNC(G20 * (1 + 28.82 / 100), 2)</f>
        <v>478.43</v>
      </c>
      <c r="I20" s="82">
        <f t="shared" ref="I20:I31" si="2">TRUNC(F20 * H20, 2)</f>
        <v>516.70000000000005</v>
      </c>
      <c r="J20" s="83">
        <f t="shared" si="0"/>
        <v>5.7634061433603956E-4</v>
      </c>
    </row>
    <row r="21" spans="1:10" ht="25.5" x14ac:dyDescent="0.2">
      <c r="A21" s="19" t="s">
        <v>51</v>
      </c>
      <c r="B21" s="20" t="s">
        <v>52</v>
      </c>
      <c r="C21" s="19" t="s">
        <v>15</v>
      </c>
      <c r="D21" s="19" t="s">
        <v>53</v>
      </c>
      <c r="E21" s="21" t="s">
        <v>50</v>
      </c>
      <c r="F21" s="20">
        <v>9</v>
      </c>
      <c r="G21" s="82">
        <v>74.28</v>
      </c>
      <c r="H21" s="82">
        <f t="shared" si="1"/>
        <v>95.68</v>
      </c>
      <c r="I21" s="82">
        <f t="shared" si="2"/>
        <v>861.12</v>
      </c>
      <c r="J21" s="83">
        <f t="shared" si="0"/>
        <v>9.6051563734672011E-4</v>
      </c>
    </row>
    <row r="22" spans="1:10" ht="25.5" x14ac:dyDescent="0.2">
      <c r="A22" s="19" t="s">
        <v>54</v>
      </c>
      <c r="B22" s="20" t="s">
        <v>55</v>
      </c>
      <c r="C22" s="19" t="s">
        <v>15</v>
      </c>
      <c r="D22" s="19" t="s">
        <v>56</v>
      </c>
      <c r="E22" s="21" t="s">
        <v>5</v>
      </c>
      <c r="F22" s="20">
        <v>81.569999999999993</v>
      </c>
      <c r="G22" s="82">
        <v>12.35</v>
      </c>
      <c r="H22" s="82">
        <f t="shared" si="1"/>
        <v>15.9</v>
      </c>
      <c r="I22" s="82">
        <f t="shared" si="2"/>
        <v>1296.96</v>
      </c>
      <c r="J22" s="83">
        <f t="shared" si="0"/>
        <v>1.4466629053014703E-3</v>
      </c>
    </row>
    <row r="23" spans="1:10" ht="25.5" x14ac:dyDescent="0.2">
      <c r="A23" s="19" t="s">
        <v>57</v>
      </c>
      <c r="B23" s="20" t="s">
        <v>58</v>
      </c>
      <c r="C23" s="19" t="s">
        <v>15</v>
      </c>
      <c r="D23" s="19" t="s">
        <v>59</v>
      </c>
      <c r="E23" s="21" t="s">
        <v>5</v>
      </c>
      <c r="F23" s="20">
        <v>81.569999999999993</v>
      </c>
      <c r="G23" s="82">
        <v>7.42</v>
      </c>
      <c r="H23" s="82">
        <f t="shared" si="1"/>
        <v>9.5500000000000007</v>
      </c>
      <c r="I23" s="82">
        <f t="shared" si="2"/>
        <v>778.99</v>
      </c>
      <c r="J23" s="83">
        <f t="shared" si="0"/>
        <v>8.6890569994509657E-4</v>
      </c>
    </row>
    <row r="24" spans="1:10" ht="25.5" x14ac:dyDescent="0.2">
      <c r="A24" s="19" t="s">
        <v>60</v>
      </c>
      <c r="B24" s="20" t="s">
        <v>61</v>
      </c>
      <c r="C24" s="19" t="s">
        <v>15</v>
      </c>
      <c r="D24" s="19" t="s">
        <v>62</v>
      </c>
      <c r="E24" s="21" t="s">
        <v>5</v>
      </c>
      <c r="F24" s="20">
        <v>5.85</v>
      </c>
      <c r="G24" s="82">
        <v>28.81</v>
      </c>
      <c r="H24" s="82">
        <f t="shared" si="1"/>
        <v>37.11</v>
      </c>
      <c r="I24" s="82">
        <f t="shared" si="2"/>
        <v>217.09</v>
      </c>
      <c r="J24" s="83">
        <f t="shared" si="0"/>
        <v>2.4214783039715659E-4</v>
      </c>
    </row>
    <row r="25" spans="1:10" ht="25.5" x14ac:dyDescent="0.2">
      <c r="A25" s="19" t="s">
        <v>63</v>
      </c>
      <c r="B25" s="20" t="s">
        <v>64</v>
      </c>
      <c r="C25" s="19" t="s">
        <v>15</v>
      </c>
      <c r="D25" s="19" t="s">
        <v>65</v>
      </c>
      <c r="E25" s="21" t="s">
        <v>5</v>
      </c>
      <c r="F25" s="20">
        <v>193.5</v>
      </c>
      <c r="G25" s="82">
        <v>25.5</v>
      </c>
      <c r="H25" s="82">
        <f t="shared" si="1"/>
        <v>32.840000000000003</v>
      </c>
      <c r="I25" s="82">
        <f t="shared" si="2"/>
        <v>6354.54</v>
      </c>
      <c r="J25" s="83">
        <f t="shared" si="0"/>
        <v>7.0880191357130563E-3</v>
      </c>
    </row>
    <row r="26" spans="1:10" ht="25.5" x14ac:dyDescent="0.2">
      <c r="A26" s="19" t="s">
        <v>66</v>
      </c>
      <c r="B26" s="20" t="s">
        <v>67</v>
      </c>
      <c r="C26" s="19" t="s">
        <v>15</v>
      </c>
      <c r="D26" s="19" t="s">
        <v>68</v>
      </c>
      <c r="E26" s="21" t="s">
        <v>5</v>
      </c>
      <c r="F26" s="20">
        <v>298.5</v>
      </c>
      <c r="G26" s="82">
        <v>29.21</v>
      </c>
      <c r="H26" s="82">
        <f t="shared" si="1"/>
        <v>37.619999999999997</v>
      </c>
      <c r="I26" s="82">
        <f t="shared" si="2"/>
        <v>11229.57</v>
      </c>
      <c r="J26" s="83">
        <f t="shared" si="0"/>
        <v>1.2525754349776579E-2</v>
      </c>
    </row>
    <row r="27" spans="1:10" ht="25.5" x14ac:dyDescent="0.2">
      <c r="A27" s="19" t="s">
        <v>69</v>
      </c>
      <c r="B27" s="20" t="s">
        <v>70</v>
      </c>
      <c r="C27" s="19" t="s">
        <v>15</v>
      </c>
      <c r="D27" s="19" t="s">
        <v>71</v>
      </c>
      <c r="E27" s="21" t="s">
        <v>32</v>
      </c>
      <c r="F27" s="20">
        <v>121.93</v>
      </c>
      <c r="G27" s="82">
        <v>24.14</v>
      </c>
      <c r="H27" s="82">
        <f t="shared" si="1"/>
        <v>31.09</v>
      </c>
      <c r="I27" s="82">
        <f t="shared" si="2"/>
        <v>3790.8</v>
      </c>
      <c r="J27" s="83">
        <f t="shared" si="0"/>
        <v>4.2283568817980616E-3</v>
      </c>
    </row>
    <row r="28" spans="1:10" ht="25.5" x14ac:dyDescent="0.2">
      <c r="A28" s="19" t="s">
        <v>72</v>
      </c>
      <c r="B28" s="20" t="s">
        <v>73</v>
      </c>
      <c r="C28" s="19" t="s">
        <v>15</v>
      </c>
      <c r="D28" s="19" t="s">
        <v>74</v>
      </c>
      <c r="E28" s="21" t="s">
        <v>5</v>
      </c>
      <c r="F28" s="20">
        <v>157.30000000000001</v>
      </c>
      <c r="G28" s="82">
        <v>3.91</v>
      </c>
      <c r="H28" s="82">
        <f t="shared" si="1"/>
        <v>5.03</v>
      </c>
      <c r="I28" s="82">
        <f t="shared" si="2"/>
        <v>791.21</v>
      </c>
      <c r="J28" s="83">
        <f t="shared" si="0"/>
        <v>8.8253620566831393E-4</v>
      </c>
    </row>
    <row r="29" spans="1:10" ht="25.5" x14ac:dyDescent="0.2">
      <c r="A29" s="19" t="s">
        <v>75</v>
      </c>
      <c r="B29" s="20" t="s">
        <v>76</v>
      </c>
      <c r="C29" s="19" t="s">
        <v>15</v>
      </c>
      <c r="D29" s="19" t="s">
        <v>77</v>
      </c>
      <c r="E29" s="21" t="s">
        <v>78</v>
      </c>
      <c r="F29" s="20">
        <v>176</v>
      </c>
      <c r="G29" s="82">
        <v>7.42</v>
      </c>
      <c r="H29" s="82">
        <f t="shared" si="1"/>
        <v>9.5500000000000007</v>
      </c>
      <c r="I29" s="82">
        <f t="shared" si="2"/>
        <v>1680.8</v>
      </c>
      <c r="J29" s="83">
        <f t="shared" si="0"/>
        <v>1.8748080212425298E-3</v>
      </c>
    </row>
    <row r="30" spans="1:10" ht="25.5" x14ac:dyDescent="0.2">
      <c r="A30" s="19" t="s">
        <v>79</v>
      </c>
      <c r="B30" s="20" t="s">
        <v>80</v>
      </c>
      <c r="C30" s="19" t="s">
        <v>15</v>
      </c>
      <c r="D30" s="19" t="s">
        <v>81</v>
      </c>
      <c r="E30" s="21" t="s">
        <v>32</v>
      </c>
      <c r="F30" s="20">
        <v>1</v>
      </c>
      <c r="G30" s="82">
        <v>3799.61</v>
      </c>
      <c r="H30" s="82">
        <f t="shared" si="1"/>
        <v>4894.6499999999996</v>
      </c>
      <c r="I30" s="82">
        <f t="shared" si="2"/>
        <v>4894.6499999999996</v>
      </c>
      <c r="J30" s="83">
        <f t="shared" si="0"/>
        <v>5.4596198721886882E-3</v>
      </c>
    </row>
    <row r="31" spans="1:10" ht="25.5" x14ac:dyDescent="0.2">
      <c r="A31" s="19" t="s">
        <v>82</v>
      </c>
      <c r="B31" s="20" t="s">
        <v>83</v>
      </c>
      <c r="C31" s="19" t="s">
        <v>15</v>
      </c>
      <c r="D31" s="19" t="s">
        <v>84</v>
      </c>
      <c r="E31" s="21" t="s">
        <v>50</v>
      </c>
      <c r="F31" s="20">
        <v>121.88</v>
      </c>
      <c r="G31" s="82">
        <v>125.5</v>
      </c>
      <c r="H31" s="82">
        <f t="shared" si="1"/>
        <v>161.66</v>
      </c>
      <c r="I31" s="82">
        <f t="shared" si="2"/>
        <v>19703.12</v>
      </c>
      <c r="J31" s="83">
        <f t="shared" si="0"/>
        <v>2.1977372334307538E-2</v>
      </c>
    </row>
    <row r="32" spans="1:10" x14ac:dyDescent="0.2">
      <c r="A32" s="18" t="s">
        <v>85</v>
      </c>
      <c r="B32" s="18"/>
      <c r="C32" s="18"/>
      <c r="D32" s="18" t="s">
        <v>86</v>
      </c>
      <c r="E32" s="18"/>
      <c r="F32" s="39"/>
      <c r="G32" s="18"/>
      <c r="H32" s="18"/>
      <c r="I32" s="80">
        <v>24643.69</v>
      </c>
      <c r="J32" s="81">
        <f t="shared" si="0"/>
        <v>2.7488212568428316E-2</v>
      </c>
    </row>
    <row r="33" spans="1:10" ht="25.5" x14ac:dyDescent="0.2">
      <c r="A33" s="19" t="s">
        <v>87</v>
      </c>
      <c r="B33" s="20" t="s">
        <v>88</v>
      </c>
      <c r="C33" s="19" t="s">
        <v>15</v>
      </c>
      <c r="D33" s="19" t="s">
        <v>89</v>
      </c>
      <c r="E33" s="21" t="s">
        <v>5</v>
      </c>
      <c r="F33" s="20">
        <v>701.85</v>
      </c>
      <c r="G33" s="82">
        <v>5.84</v>
      </c>
      <c r="H33" s="82">
        <f t="shared" ref="H33:H38" si="3">TRUNC(G33 * (1 + 28.82 / 100), 2)</f>
        <v>7.52</v>
      </c>
      <c r="I33" s="82">
        <f t="shared" ref="I33:I38" si="4">TRUNC(F33 * H33, 2)</f>
        <v>5277.91</v>
      </c>
      <c r="J33" s="83">
        <f t="shared" si="0"/>
        <v>5.8871180410495954E-3</v>
      </c>
    </row>
    <row r="34" spans="1:10" ht="25.5" x14ac:dyDescent="0.2">
      <c r="A34" s="19" t="s">
        <v>90</v>
      </c>
      <c r="B34" s="20" t="s">
        <v>91</v>
      </c>
      <c r="C34" s="19" t="s">
        <v>15</v>
      </c>
      <c r="D34" s="19" t="s">
        <v>92</v>
      </c>
      <c r="E34" s="21" t="s">
        <v>50</v>
      </c>
      <c r="F34" s="20">
        <v>105.28</v>
      </c>
      <c r="G34" s="82">
        <v>16.350000000000001</v>
      </c>
      <c r="H34" s="82">
        <f t="shared" si="3"/>
        <v>21.06</v>
      </c>
      <c r="I34" s="82">
        <f t="shared" si="4"/>
        <v>2217.19</v>
      </c>
      <c r="J34" s="83">
        <f t="shared" si="0"/>
        <v>2.4731113735237532E-3</v>
      </c>
    </row>
    <row r="35" spans="1:10" ht="25.5" x14ac:dyDescent="0.2">
      <c r="A35" s="19" t="s">
        <v>93</v>
      </c>
      <c r="B35" s="20" t="s">
        <v>94</v>
      </c>
      <c r="C35" s="19" t="s">
        <v>15</v>
      </c>
      <c r="D35" s="19" t="s">
        <v>95</v>
      </c>
      <c r="E35" s="21" t="s">
        <v>50</v>
      </c>
      <c r="F35" s="20">
        <v>210.56</v>
      </c>
      <c r="G35" s="82">
        <v>20.54</v>
      </c>
      <c r="H35" s="82">
        <f t="shared" si="3"/>
        <v>26.45</v>
      </c>
      <c r="I35" s="82">
        <f t="shared" si="4"/>
        <v>5569.31</v>
      </c>
      <c r="J35" s="83">
        <f t="shared" si="0"/>
        <v>6.2121531775263172E-3</v>
      </c>
    </row>
    <row r="36" spans="1:10" ht="25.5" x14ac:dyDescent="0.2">
      <c r="A36" s="19" t="s">
        <v>96</v>
      </c>
      <c r="B36" s="20" t="s">
        <v>97</v>
      </c>
      <c r="C36" s="19" t="s">
        <v>15</v>
      </c>
      <c r="D36" s="19" t="s">
        <v>98</v>
      </c>
      <c r="E36" s="21" t="s">
        <v>50</v>
      </c>
      <c r="F36" s="20">
        <v>210.56</v>
      </c>
      <c r="G36" s="82">
        <v>12.14</v>
      </c>
      <c r="H36" s="82">
        <f t="shared" si="3"/>
        <v>15.63</v>
      </c>
      <c r="I36" s="82">
        <f t="shared" si="4"/>
        <v>3291.05</v>
      </c>
      <c r="J36" s="83">
        <f t="shared" si="0"/>
        <v>3.670922738166485E-3</v>
      </c>
    </row>
    <row r="37" spans="1:10" ht="25.5" x14ac:dyDescent="0.2">
      <c r="A37" s="19" t="s">
        <v>99</v>
      </c>
      <c r="B37" s="20" t="s">
        <v>100</v>
      </c>
      <c r="C37" s="19" t="s">
        <v>15</v>
      </c>
      <c r="D37" s="19" t="s">
        <v>101</v>
      </c>
      <c r="E37" s="21" t="s">
        <v>50</v>
      </c>
      <c r="F37" s="20">
        <v>136.86000000000001</v>
      </c>
      <c r="G37" s="82">
        <v>6.4</v>
      </c>
      <c r="H37" s="82">
        <f t="shared" si="3"/>
        <v>8.24</v>
      </c>
      <c r="I37" s="82">
        <f t="shared" si="4"/>
        <v>1127.72</v>
      </c>
      <c r="J37" s="83">
        <f t="shared" si="0"/>
        <v>1.257888209016912E-3</v>
      </c>
    </row>
    <row r="38" spans="1:10" ht="25.5" x14ac:dyDescent="0.2">
      <c r="A38" s="19" t="s">
        <v>102</v>
      </c>
      <c r="B38" s="20" t="s">
        <v>103</v>
      </c>
      <c r="C38" s="19" t="s">
        <v>15</v>
      </c>
      <c r="D38" s="19" t="s">
        <v>104</v>
      </c>
      <c r="E38" s="21" t="s">
        <v>50</v>
      </c>
      <c r="F38" s="20">
        <v>136.86000000000001</v>
      </c>
      <c r="G38" s="82">
        <v>40.619999999999997</v>
      </c>
      <c r="H38" s="82">
        <f t="shared" si="3"/>
        <v>52.32</v>
      </c>
      <c r="I38" s="82">
        <f t="shared" si="4"/>
        <v>7160.51</v>
      </c>
      <c r="J38" s="83">
        <f t="shared" si="0"/>
        <v>7.9870190291452571E-3</v>
      </c>
    </row>
    <row r="39" spans="1:10" x14ac:dyDescent="0.2">
      <c r="A39" s="18" t="s">
        <v>105</v>
      </c>
      <c r="B39" s="18"/>
      <c r="C39" s="18"/>
      <c r="D39" s="18" t="s">
        <v>106</v>
      </c>
      <c r="E39" s="18"/>
      <c r="F39" s="39"/>
      <c r="G39" s="18"/>
      <c r="H39" s="18"/>
      <c r="I39" s="80">
        <v>18796.560000000001</v>
      </c>
      <c r="J39" s="81">
        <f t="shared" si="0"/>
        <v>2.0966171739508859E-2</v>
      </c>
    </row>
    <row r="40" spans="1:10" x14ac:dyDescent="0.2">
      <c r="A40" s="18" t="s">
        <v>107</v>
      </c>
      <c r="B40" s="18"/>
      <c r="C40" s="18"/>
      <c r="D40" s="18" t="s">
        <v>108</v>
      </c>
      <c r="E40" s="18"/>
      <c r="F40" s="39"/>
      <c r="G40" s="18"/>
      <c r="H40" s="18"/>
      <c r="I40" s="80">
        <v>9390.4699999999993</v>
      </c>
      <c r="J40" s="81">
        <f t="shared" si="0"/>
        <v>1.0474374392692372E-2</v>
      </c>
    </row>
    <row r="41" spans="1:10" ht="25.5" x14ac:dyDescent="0.2">
      <c r="A41" s="19" t="s">
        <v>109</v>
      </c>
      <c r="B41" s="20" t="s">
        <v>110</v>
      </c>
      <c r="C41" s="19" t="s">
        <v>15</v>
      </c>
      <c r="D41" s="19" t="s">
        <v>111</v>
      </c>
      <c r="E41" s="21" t="s">
        <v>78</v>
      </c>
      <c r="F41" s="20">
        <v>85</v>
      </c>
      <c r="G41" s="82">
        <v>56.13</v>
      </c>
      <c r="H41" s="82">
        <f>TRUNC(G41 * (1 + 28.82 / 100), 2)</f>
        <v>72.3</v>
      </c>
      <c r="I41" s="82">
        <f>TRUNC(F41 * H41, 2)</f>
        <v>6145.5</v>
      </c>
      <c r="J41" s="83">
        <f t="shared" si="0"/>
        <v>6.8548504846180193E-3</v>
      </c>
    </row>
    <row r="42" spans="1:10" ht="25.5" x14ac:dyDescent="0.2">
      <c r="A42" s="19" t="s">
        <v>112</v>
      </c>
      <c r="B42" s="20" t="s">
        <v>132</v>
      </c>
      <c r="C42" s="19" t="s">
        <v>15</v>
      </c>
      <c r="D42" s="19" t="s">
        <v>133</v>
      </c>
      <c r="E42" s="21" t="s">
        <v>134</v>
      </c>
      <c r="F42" s="20">
        <v>153</v>
      </c>
      <c r="G42" s="82">
        <v>10.38</v>
      </c>
      <c r="H42" s="82">
        <f>TRUNC(G42 * (1 + 28.82 / 100), 2)</f>
        <v>13.37</v>
      </c>
      <c r="I42" s="82">
        <f>TRUNC(F42 * H42, 2)</f>
        <v>2045.61</v>
      </c>
      <c r="J42" s="83">
        <f t="shared" si="0"/>
        <v>2.2817265803985786E-3</v>
      </c>
    </row>
    <row r="43" spans="1:10" ht="25.5" x14ac:dyDescent="0.2">
      <c r="A43" s="19" t="s">
        <v>116</v>
      </c>
      <c r="B43" s="20" t="s">
        <v>113</v>
      </c>
      <c r="C43" s="19" t="s">
        <v>15</v>
      </c>
      <c r="D43" s="19" t="s">
        <v>114</v>
      </c>
      <c r="E43" s="21" t="s">
        <v>115</v>
      </c>
      <c r="F43" s="20">
        <v>1</v>
      </c>
      <c r="G43" s="82">
        <v>250.87</v>
      </c>
      <c r="H43" s="82">
        <f>TRUNC(G43 * (1 + 28.82 / 100), 2)</f>
        <v>323.17</v>
      </c>
      <c r="I43" s="82">
        <f>TRUNC(F43 * H43, 2)</f>
        <v>323.17</v>
      </c>
      <c r="J43" s="83">
        <f t="shared" si="0"/>
        <v>3.604722205050859E-4</v>
      </c>
    </row>
    <row r="44" spans="1:10" ht="25.5" x14ac:dyDescent="0.2">
      <c r="A44" s="19" t="s">
        <v>659</v>
      </c>
      <c r="B44" s="20" t="s">
        <v>83</v>
      </c>
      <c r="C44" s="19" t="s">
        <v>15</v>
      </c>
      <c r="D44" s="19" t="s">
        <v>84</v>
      </c>
      <c r="E44" s="21" t="s">
        <v>50</v>
      </c>
      <c r="F44" s="20">
        <v>5.42</v>
      </c>
      <c r="G44" s="82">
        <v>125.5</v>
      </c>
      <c r="H44" s="82">
        <f>TRUNC(G44 * (1 + 28.82 / 100), 2)</f>
        <v>161.66</v>
      </c>
      <c r="I44" s="82">
        <f>TRUNC(F44 * H44, 2)</f>
        <v>876.19</v>
      </c>
      <c r="J44" s="83">
        <f t="shared" si="0"/>
        <v>9.7732510717068793E-4</v>
      </c>
    </row>
    <row r="45" spans="1:10" x14ac:dyDescent="0.2">
      <c r="A45" s="18" t="s">
        <v>117</v>
      </c>
      <c r="B45" s="18"/>
      <c r="C45" s="18"/>
      <c r="D45" s="18" t="s">
        <v>118</v>
      </c>
      <c r="E45" s="18"/>
      <c r="F45" s="39"/>
      <c r="G45" s="18"/>
      <c r="H45" s="18"/>
      <c r="I45" s="80">
        <v>9406.09</v>
      </c>
      <c r="J45" s="81">
        <f t="shared" si="0"/>
        <v>1.0491797346816484E-2</v>
      </c>
    </row>
    <row r="46" spans="1:10" ht="25.5" x14ac:dyDescent="0.2">
      <c r="A46" s="19" t="s">
        <v>119</v>
      </c>
      <c r="B46" s="20" t="s">
        <v>120</v>
      </c>
      <c r="C46" s="19" t="s">
        <v>15</v>
      </c>
      <c r="D46" s="19" t="s">
        <v>121</v>
      </c>
      <c r="E46" s="21" t="s">
        <v>50</v>
      </c>
      <c r="F46" s="20">
        <v>12.59</v>
      </c>
      <c r="G46" s="82">
        <v>46.42</v>
      </c>
      <c r="H46" s="82">
        <f t="shared" ref="H46:H55" si="5">TRUNC(G46 * (1 + 28.82 / 100), 2)</f>
        <v>59.79</v>
      </c>
      <c r="I46" s="82">
        <f t="shared" ref="I46:I55" si="6">TRUNC(F46 * H46, 2)</f>
        <v>752.75</v>
      </c>
      <c r="J46" s="83">
        <f t="shared" si="0"/>
        <v>8.3963692169818798E-4</v>
      </c>
    </row>
    <row r="47" spans="1:10" ht="25.5" x14ac:dyDescent="0.2">
      <c r="A47" s="19" t="s">
        <v>122</v>
      </c>
      <c r="B47" s="20" t="s">
        <v>123</v>
      </c>
      <c r="C47" s="19" t="s">
        <v>31</v>
      </c>
      <c r="D47" s="19" t="s">
        <v>124</v>
      </c>
      <c r="E47" s="21" t="s">
        <v>5</v>
      </c>
      <c r="F47" s="20">
        <v>12.7</v>
      </c>
      <c r="G47" s="82">
        <v>8.86</v>
      </c>
      <c r="H47" s="82">
        <f t="shared" si="5"/>
        <v>11.41</v>
      </c>
      <c r="I47" s="82">
        <f t="shared" si="6"/>
        <v>144.9</v>
      </c>
      <c r="J47" s="83">
        <f t="shared" si="0"/>
        <v>1.6162522743815003E-4</v>
      </c>
    </row>
    <row r="48" spans="1:10" ht="25.5" x14ac:dyDescent="0.2">
      <c r="A48" s="19" t="s">
        <v>125</v>
      </c>
      <c r="B48" s="20" t="s">
        <v>126</v>
      </c>
      <c r="C48" s="19" t="s">
        <v>15</v>
      </c>
      <c r="D48" s="19" t="s">
        <v>127</v>
      </c>
      <c r="E48" s="21" t="s">
        <v>5</v>
      </c>
      <c r="F48" s="20">
        <v>18.34</v>
      </c>
      <c r="G48" s="82">
        <v>98.53</v>
      </c>
      <c r="H48" s="82">
        <f t="shared" si="5"/>
        <v>126.92</v>
      </c>
      <c r="I48" s="82">
        <f t="shared" si="6"/>
        <v>2327.71</v>
      </c>
      <c r="J48" s="83">
        <f t="shared" si="0"/>
        <v>2.5963882550728516E-3</v>
      </c>
    </row>
    <row r="49" spans="1:10" ht="25.5" x14ac:dyDescent="0.2">
      <c r="A49" s="19" t="s">
        <v>128</v>
      </c>
      <c r="B49" s="20" t="s">
        <v>129</v>
      </c>
      <c r="C49" s="19" t="s">
        <v>15</v>
      </c>
      <c r="D49" s="19" t="s">
        <v>130</v>
      </c>
      <c r="E49" s="21" t="s">
        <v>50</v>
      </c>
      <c r="F49" s="20">
        <v>0.63</v>
      </c>
      <c r="G49" s="82">
        <v>204.52</v>
      </c>
      <c r="H49" s="82">
        <f t="shared" si="5"/>
        <v>263.45999999999998</v>
      </c>
      <c r="I49" s="82">
        <f t="shared" si="6"/>
        <v>165.97</v>
      </c>
      <c r="J49" s="83">
        <f t="shared" si="0"/>
        <v>1.8512725326369744E-4</v>
      </c>
    </row>
    <row r="50" spans="1:10" ht="25.5" x14ac:dyDescent="0.2">
      <c r="A50" s="19" t="s">
        <v>131</v>
      </c>
      <c r="B50" s="20" t="s">
        <v>132</v>
      </c>
      <c r="C50" s="19" t="s">
        <v>15</v>
      </c>
      <c r="D50" s="19" t="s">
        <v>133</v>
      </c>
      <c r="E50" s="21" t="s">
        <v>134</v>
      </c>
      <c r="F50" s="20">
        <v>92</v>
      </c>
      <c r="G50" s="82">
        <v>10.38</v>
      </c>
      <c r="H50" s="82">
        <f t="shared" si="5"/>
        <v>13.37</v>
      </c>
      <c r="I50" s="82">
        <f t="shared" si="6"/>
        <v>1230.04</v>
      </c>
      <c r="J50" s="83">
        <f t="shared" si="0"/>
        <v>1.3720185973638513E-3</v>
      </c>
    </row>
    <row r="51" spans="1:10" ht="25.5" x14ac:dyDescent="0.2">
      <c r="A51" s="19" t="s">
        <v>135</v>
      </c>
      <c r="B51" s="20" t="s">
        <v>136</v>
      </c>
      <c r="C51" s="19" t="s">
        <v>15</v>
      </c>
      <c r="D51" s="19" t="s">
        <v>137</v>
      </c>
      <c r="E51" s="21" t="s">
        <v>50</v>
      </c>
      <c r="F51" s="20">
        <v>2.64</v>
      </c>
      <c r="G51" s="82">
        <v>565.37</v>
      </c>
      <c r="H51" s="82">
        <f t="shared" si="5"/>
        <v>728.3</v>
      </c>
      <c r="I51" s="82">
        <f t="shared" si="6"/>
        <v>1922.71</v>
      </c>
      <c r="J51" s="83">
        <f t="shared" si="0"/>
        <v>2.1446407249662209E-3</v>
      </c>
    </row>
    <row r="52" spans="1:10" ht="25.5" x14ac:dyDescent="0.2">
      <c r="A52" s="19" t="s">
        <v>138</v>
      </c>
      <c r="B52" s="20" t="s">
        <v>139</v>
      </c>
      <c r="C52" s="19" t="s">
        <v>15</v>
      </c>
      <c r="D52" s="19" t="s">
        <v>140</v>
      </c>
      <c r="E52" s="21" t="s">
        <v>50</v>
      </c>
      <c r="F52" s="20">
        <v>2.64</v>
      </c>
      <c r="G52" s="82">
        <v>156.63999999999999</v>
      </c>
      <c r="H52" s="82">
        <f t="shared" si="5"/>
        <v>201.78</v>
      </c>
      <c r="I52" s="82">
        <f t="shared" si="6"/>
        <v>532.69000000000005</v>
      </c>
      <c r="J52" s="83">
        <f t="shared" si="0"/>
        <v>5.9417627608024945E-4</v>
      </c>
    </row>
    <row r="53" spans="1:10" ht="25.5" x14ac:dyDescent="0.2">
      <c r="A53" s="19" t="s">
        <v>141</v>
      </c>
      <c r="B53" s="20" t="s">
        <v>142</v>
      </c>
      <c r="C53" s="19" t="s">
        <v>15</v>
      </c>
      <c r="D53" s="19" t="s">
        <v>143</v>
      </c>
      <c r="E53" s="21" t="s">
        <v>5</v>
      </c>
      <c r="F53" s="20">
        <v>15.33</v>
      </c>
      <c r="G53" s="82">
        <v>82.88</v>
      </c>
      <c r="H53" s="82">
        <f t="shared" si="5"/>
        <v>106.76</v>
      </c>
      <c r="I53" s="82">
        <f t="shared" si="6"/>
        <v>1636.63</v>
      </c>
      <c r="J53" s="83">
        <f t="shared" si="0"/>
        <v>1.8255396548109005E-3</v>
      </c>
    </row>
    <row r="54" spans="1:10" ht="25.5" x14ac:dyDescent="0.2">
      <c r="A54" s="19" t="s">
        <v>144</v>
      </c>
      <c r="B54" s="20" t="s">
        <v>145</v>
      </c>
      <c r="C54" s="19" t="s">
        <v>15</v>
      </c>
      <c r="D54" s="19" t="s">
        <v>146</v>
      </c>
      <c r="E54" s="21" t="s">
        <v>50</v>
      </c>
      <c r="F54" s="20">
        <v>9.31</v>
      </c>
      <c r="G54" s="82">
        <v>7.98</v>
      </c>
      <c r="H54" s="82">
        <f t="shared" si="5"/>
        <v>10.27</v>
      </c>
      <c r="I54" s="82">
        <f t="shared" si="6"/>
        <v>95.61</v>
      </c>
      <c r="J54" s="83">
        <f t="shared" si="0"/>
        <v>1.066458798851727E-4</v>
      </c>
    </row>
    <row r="55" spans="1:10" ht="25.5" x14ac:dyDescent="0.2">
      <c r="A55" s="19" t="s">
        <v>147</v>
      </c>
      <c r="B55" s="20" t="s">
        <v>148</v>
      </c>
      <c r="C55" s="19" t="s">
        <v>15</v>
      </c>
      <c r="D55" s="19" t="s">
        <v>149</v>
      </c>
      <c r="E55" s="21" t="s">
        <v>50</v>
      </c>
      <c r="F55" s="20">
        <v>4.26</v>
      </c>
      <c r="G55" s="82">
        <v>108.81</v>
      </c>
      <c r="H55" s="82">
        <f t="shared" si="5"/>
        <v>140.16</v>
      </c>
      <c r="I55" s="82">
        <f t="shared" si="6"/>
        <v>597.08000000000004</v>
      </c>
      <c r="J55" s="83">
        <f t="shared" si="0"/>
        <v>6.6599855623720235E-4</v>
      </c>
    </row>
    <row r="56" spans="1:10" x14ac:dyDescent="0.2">
      <c r="A56" s="18" t="s">
        <v>6</v>
      </c>
      <c r="B56" s="18"/>
      <c r="C56" s="18"/>
      <c r="D56" s="18" t="s">
        <v>150</v>
      </c>
      <c r="E56" s="18"/>
      <c r="F56" s="39"/>
      <c r="G56" s="18"/>
      <c r="H56" s="18"/>
      <c r="I56" s="80">
        <v>36207.43</v>
      </c>
      <c r="J56" s="81">
        <f t="shared" si="0"/>
        <v>4.0386708824712882E-2</v>
      </c>
    </row>
    <row r="57" spans="1:10" ht="25.5" x14ac:dyDescent="0.2">
      <c r="A57" s="19" t="s">
        <v>7</v>
      </c>
      <c r="B57" s="20" t="s">
        <v>152</v>
      </c>
      <c r="C57" s="19" t="s">
        <v>15</v>
      </c>
      <c r="D57" s="19" t="s">
        <v>153</v>
      </c>
      <c r="E57" s="21" t="s">
        <v>5</v>
      </c>
      <c r="F57" s="20">
        <v>67.099999999999994</v>
      </c>
      <c r="G57" s="82">
        <v>251.86</v>
      </c>
      <c r="H57" s="82">
        <f>TRUNC(G57 * (1 + 28.82 / 100), 2)</f>
        <v>324.44</v>
      </c>
      <c r="I57" s="82">
        <f>TRUNC(F57 * H57, 2)</f>
        <v>21769.919999999998</v>
      </c>
      <c r="J57" s="83">
        <f t="shared" si="0"/>
        <v>2.4282734791651696E-2</v>
      </c>
    </row>
    <row r="58" spans="1:10" ht="25.5" x14ac:dyDescent="0.2">
      <c r="A58" s="19" t="s">
        <v>151</v>
      </c>
      <c r="B58" s="20" t="s">
        <v>132</v>
      </c>
      <c r="C58" s="19" t="s">
        <v>15</v>
      </c>
      <c r="D58" s="19" t="s">
        <v>133</v>
      </c>
      <c r="E58" s="21" t="s">
        <v>134</v>
      </c>
      <c r="F58" s="20">
        <v>449</v>
      </c>
      <c r="G58" s="82">
        <v>10.38</v>
      </c>
      <c r="H58" s="82">
        <f>TRUNC(G58 * (1 + 28.82 / 100), 2)</f>
        <v>13.37</v>
      </c>
      <c r="I58" s="82">
        <f>TRUNC(F58 * H58, 2)</f>
        <v>6003.13</v>
      </c>
      <c r="J58" s="83">
        <f t="shared" si="0"/>
        <v>6.6960472849605353E-3</v>
      </c>
    </row>
    <row r="59" spans="1:10" ht="25.5" x14ac:dyDescent="0.2">
      <c r="A59" s="19" t="s">
        <v>154</v>
      </c>
      <c r="B59" s="20" t="s">
        <v>136</v>
      </c>
      <c r="C59" s="19" t="s">
        <v>15</v>
      </c>
      <c r="D59" s="19" t="s">
        <v>137</v>
      </c>
      <c r="E59" s="21" t="s">
        <v>50</v>
      </c>
      <c r="F59" s="20">
        <v>7.22</v>
      </c>
      <c r="G59" s="82">
        <v>565.37</v>
      </c>
      <c r="H59" s="82">
        <f>TRUNC(G59 * (1 + 28.82 / 100), 2)</f>
        <v>728.3</v>
      </c>
      <c r="I59" s="82">
        <f>TRUNC(F59 * H59, 2)</f>
        <v>5258.32</v>
      </c>
      <c r="J59" s="83">
        <f t="shared" si="0"/>
        <v>5.8652668457044371E-3</v>
      </c>
    </row>
    <row r="60" spans="1:10" ht="25.5" x14ac:dyDescent="0.2">
      <c r="A60" s="19" t="s">
        <v>155</v>
      </c>
      <c r="B60" s="20" t="s">
        <v>156</v>
      </c>
      <c r="C60" s="19" t="s">
        <v>15</v>
      </c>
      <c r="D60" s="19" t="s">
        <v>157</v>
      </c>
      <c r="E60" s="21" t="s">
        <v>50</v>
      </c>
      <c r="F60" s="20">
        <v>7.22</v>
      </c>
      <c r="G60" s="82">
        <v>78.319999999999993</v>
      </c>
      <c r="H60" s="82">
        <f>TRUNC(G60 * (1 + 28.82 / 100), 2)</f>
        <v>100.89</v>
      </c>
      <c r="I60" s="82">
        <f>TRUNC(F60 * H60, 2)</f>
        <v>728.42</v>
      </c>
      <c r="J60" s="83">
        <f t="shared" si="0"/>
        <v>8.1249860711178211E-4</v>
      </c>
    </row>
    <row r="61" spans="1:10" ht="25.5" x14ac:dyDescent="0.2">
      <c r="A61" s="19" t="s">
        <v>158</v>
      </c>
      <c r="B61" s="20" t="s">
        <v>159</v>
      </c>
      <c r="C61" s="19" t="s">
        <v>15</v>
      </c>
      <c r="D61" s="19" t="s">
        <v>160</v>
      </c>
      <c r="E61" s="21" t="s">
        <v>5</v>
      </c>
      <c r="F61" s="20">
        <v>12.38</v>
      </c>
      <c r="G61" s="82">
        <v>153.47999999999999</v>
      </c>
      <c r="H61" s="82">
        <f>TRUNC(G61 * (1 + 28.82 / 100), 2)</f>
        <v>197.71</v>
      </c>
      <c r="I61" s="82">
        <f>TRUNC(F61 * H61, 2)</f>
        <v>2447.64</v>
      </c>
      <c r="J61" s="83">
        <f t="shared" si="0"/>
        <v>2.7301612952844272E-3</v>
      </c>
    </row>
    <row r="62" spans="1:10" x14ac:dyDescent="0.2">
      <c r="A62" s="18" t="s">
        <v>161</v>
      </c>
      <c r="B62" s="18"/>
      <c r="C62" s="18"/>
      <c r="D62" s="18" t="s">
        <v>162</v>
      </c>
      <c r="E62" s="18"/>
      <c r="F62" s="39"/>
      <c r="G62" s="18"/>
      <c r="H62" s="18"/>
      <c r="I62" s="80">
        <v>16849.07</v>
      </c>
      <c r="J62" s="81">
        <f t="shared" si="0"/>
        <v>1.8793890758256111E-2</v>
      </c>
    </row>
    <row r="63" spans="1:10" x14ac:dyDescent="0.2">
      <c r="A63" s="18" t="s">
        <v>163</v>
      </c>
      <c r="B63" s="18"/>
      <c r="C63" s="18"/>
      <c r="D63" s="18" t="s">
        <v>162</v>
      </c>
      <c r="E63" s="18"/>
      <c r="F63" s="39"/>
      <c r="G63" s="18"/>
      <c r="H63" s="18"/>
      <c r="I63" s="80">
        <v>16849.07</v>
      </c>
      <c r="J63" s="81">
        <f t="shared" si="0"/>
        <v>1.8793890758256111E-2</v>
      </c>
    </row>
    <row r="64" spans="1:10" ht="25.5" x14ac:dyDescent="0.2">
      <c r="A64" s="19" t="s">
        <v>164</v>
      </c>
      <c r="B64" s="20" t="s">
        <v>165</v>
      </c>
      <c r="C64" s="19" t="s">
        <v>15</v>
      </c>
      <c r="D64" s="19" t="s">
        <v>166</v>
      </c>
      <c r="E64" s="21" t="s">
        <v>5</v>
      </c>
      <c r="F64" s="20">
        <v>109.67</v>
      </c>
      <c r="G64" s="82">
        <v>77.27</v>
      </c>
      <c r="H64" s="82">
        <f>TRUNC(G64 * (1 + 28.82 / 100), 2)</f>
        <v>99.53</v>
      </c>
      <c r="I64" s="82">
        <f>TRUNC(F64 * H64, 2)</f>
        <v>10915.45</v>
      </c>
      <c r="J64" s="83">
        <f t="shared" si="0"/>
        <v>1.2175376734573877E-2</v>
      </c>
    </row>
    <row r="65" spans="1:10" ht="25.5" x14ac:dyDescent="0.2">
      <c r="A65" s="19" t="s">
        <v>167</v>
      </c>
      <c r="B65" s="20" t="s">
        <v>132</v>
      </c>
      <c r="C65" s="19" t="s">
        <v>15</v>
      </c>
      <c r="D65" s="19" t="s">
        <v>133</v>
      </c>
      <c r="E65" s="21" t="s">
        <v>134</v>
      </c>
      <c r="F65" s="20">
        <v>335</v>
      </c>
      <c r="G65" s="82">
        <v>10.38</v>
      </c>
      <c r="H65" s="82">
        <f>TRUNC(G65 * (1 + 28.82 / 100), 2)</f>
        <v>13.37</v>
      </c>
      <c r="I65" s="82">
        <f>TRUNC(F65 * H65, 2)</f>
        <v>4478.95</v>
      </c>
      <c r="J65" s="83">
        <f t="shared" si="0"/>
        <v>4.9959372838792411E-3</v>
      </c>
    </row>
    <row r="66" spans="1:10" ht="25.5" x14ac:dyDescent="0.2">
      <c r="A66" s="19" t="s">
        <v>168</v>
      </c>
      <c r="B66" s="20" t="s">
        <v>169</v>
      </c>
      <c r="C66" s="19" t="s">
        <v>15</v>
      </c>
      <c r="D66" s="19" t="s">
        <v>170</v>
      </c>
      <c r="E66" s="21" t="s">
        <v>50</v>
      </c>
      <c r="F66" s="20">
        <v>2.68</v>
      </c>
      <c r="G66" s="82">
        <v>421.36</v>
      </c>
      <c r="H66" s="82">
        <f>TRUNC(G66 * (1 + 28.82 / 100), 2)</f>
        <v>542.79</v>
      </c>
      <c r="I66" s="82">
        <f>TRUNC(F66 * H66, 2)</f>
        <v>1454.67</v>
      </c>
      <c r="J66" s="83">
        <f t="shared" si="0"/>
        <v>1.6225767398029931E-3</v>
      </c>
    </row>
    <row r="67" spans="1:10" x14ac:dyDescent="0.2">
      <c r="A67" s="18" t="s">
        <v>171</v>
      </c>
      <c r="B67" s="18"/>
      <c r="C67" s="18"/>
      <c r="D67" s="18" t="s">
        <v>172</v>
      </c>
      <c r="E67" s="18"/>
      <c r="F67" s="39"/>
      <c r="G67" s="18"/>
      <c r="H67" s="18"/>
      <c r="I67" s="80">
        <v>20343.57</v>
      </c>
      <c r="J67" s="81">
        <f t="shared" si="0"/>
        <v>2.2691746916176161E-2</v>
      </c>
    </row>
    <row r="68" spans="1:10" ht="25.5" x14ac:dyDescent="0.2">
      <c r="A68" s="19" t="s">
        <v>173</v>
      </c>
      <c r="B68" s="20" t="s">
        <v>174</v>
      </c>
      <c r="C68" s="19" t="s">
        <v>15</v>
      </c>
      <c r="D68" s="19" t="s">
        <v>175</v>
      </c>
      <c r="E68" s="21" t="s">
        <v>5</v>
      </c>
      <c r="F68" s="20">
        <v>0.36</v>
      </c>
      <c r="G68" s="82">
        <v>988.67</v>
      </c>
      <c r="H68" s="82">
        <f t="shared" ref="H68:H76" si="7">TRUNC(G68 * (1 + 28.82 / 100), 2)</f>
        <v>1273.5999999999999</v>
      </c>
      <c r="I68" s="82">
        <f t="shared" ref="I68:I76" si="8">TRUNC(F68 * H68, 2)</f>
        <v>458.49</v>
      </c>
      <c r="J68" s="83">
        <f t="shared" si="0"/>
        <v>5.114116668607136E-4</v>
      </c>
    </row>
    <row r="69" spans="1:10" ht="25.5" x14ac:dyDescent="0.2">
      <c r="A69" s="19" t="s">
        <v>176</v>
      </c>
      <c r="B69" s="20" t="s">
        <v>177</v>
      </c>
      <c r="C69" s="19" t="s">
        <v>15</v>
      </c>
      <c r="D69" s="19" t="s">
        <v>178</v>
      </c>
      <c r="E69" s="21" t="s">
        <v>5</v>
      </c>
      <c r="F69" s="20">
        <v>1.9</v>
      </c>
      <c r="G69" s="82">
        <v>1180.4000000000001</v>
      </c>
      <c r="H69" s="82">
        <f t="shared" si="7"/>
        <v>1520.59</v>
      </c>
      <c r="I69" s="82">
        <f t="shared" si="8"/>
        <v>2889.12</v>
      </c>
      <c r="J69" s="83">
        <f t="shared" si="0"/>
        <v>3.2225995658806622E-3</v>
      </c>
    </row>
    <row r="70" spans="1:10" ht="25.5" x14ac:dyDescent="0.2">
      <c r="A70" s="19" t="s">
        <v>179</v>
      </c>
      <c r="B70" s="20" t="s">
        <v>180</v>
      </c>
      <c r="C70" s="19" t="s">
        <v>15</v>
      </c>
      <c r="D70" s="19" t="s">
        <v>181</v>
      </c>
      <c r="E70" s="21" t="s">
        <v>5</v>
      </c>
      <c r="F70" s="20">
        <v>2.4</v>
      </c>
      <c r="G70" s="82">
        <v>829.85</v>
      </c>
      <c r="H70" s="82">
        <f t="shared" si="7"/>
        <v>1069.01</v>
      </c>
      <c r="I70" s="82">
        <f t="shared" si="8"/>
        <v>2565.62</v>
      </c>
      <c r="J70" s="83">
        <f t="shared" si="0"/>
        <v>2.8617592547954896E-3</v>
      </c>
    </row>
    <row r="71" spans="1:10" ht="25.5" x14ac:dyDescent="0.2">
      <c r="A71" s="19" t="s">
        <v>182</v>
      </c>
      <c r="B71" s="20" t="s">
        <v>183</v>
      </c>
      <c r="C71" s="19" t="s">
        <v>15</v>
      </c>
      <c r="D71" s="19" t="s">
        <v>184</v>
      </c>
      <c r="E71" s="21" t="s">
        <v>5</v>
      </c>
      <c r="F71" s="20">
        <v>2.76</v>
      </c>
      <c r="G71" s="82">
        <v>254.55</v>
      </c>
      <c r="H71" s="82">
        <f t="shared" si="7"/>
        <v>327.91</v>
      </c>
      <c r="I71" s="82">
        <f t="shared" si="8"/>
        <v>905.03</v>
      </c>
      <c r="J71" s="83">
        <f t="shared" si="0"/>
        <v>1.0094939930182811E-3</v>
      </c>
    </row>
    <row r="72" spans="1:10" ht="25.5" x14ac:dyDescent="0.2">
      <c r="A72" s="19" t="s">
        <v>185</v>
      </c>
      <c r="B72" s="20" t="s">
        <v>186</v>
      </c>
      <c r="C72" s="19" t="s">
        <v>15</v>
      </c>
      <c r="D72" s="19" t="s">
        <v>187</v>
      </c>
      <c r="E72" s="21" t="s">
        <v>5</v>
      </c>
      <c r="F72" s="20">
        <v>1.9</v>
      </c>
      <c r="G72" s="82">
        <v>367.91</v>
      </c>
      <c r="H72" s="82">
        <f t="shared" si="7"/>
        <v>473.94</v>
      </c>
      <c r="I72" s="82">
        <f t="shared" si="8"/>
        <v>900.48</v>
      </c>
      <c r="J72" s="83">
        <f t="shared" si="0"/>
        <v>1.0044188047170831E-3</v>
      </c>
    </row>
    <row r="73" spans="1:10" ht="25.5" x14ac:dyDescent="0.2">
      <c r="A73" s="19" t="s">
        <v>188</v>
      </c>
      <c r="B73" s="20" t="s">
        <v>189</v>
      </c>
      <c r="C73" s="19" t="s">
        <v>15</v>
      </c>
      <c r="D73" s="19" t="s">
        <v>190</v>
      </c>
      <c r="E73" s="21" t="s">
        <v>5</v>
      </c>
      <c r="F73" s="20">
        <v>4.66</v>
      </c>
      <c r="G73" s="82">
        <v>83.16</v>
      </c>
      <c r="H73" s="82">
        <f t="shared" si="7"/>
        <v>107.12</v>
      </c>
      <c r="I73" s="82">
        <f t="shared" si="8"/>
        <v>499.17</v>
      </c>
      <c r="J73" s="83">
        <f t="shared" si="0"/>
        <v>5.5678719655142411E-4</v>
      </c>
    </row>
    <row r="74" spans="1:10" ht="25.5" x14ac:dyDescent="0.2">
      <c r="A74" s="19" t="s">
        <v>191</v>
      </c>
      <c r="B74" s="20" t="s">
        <v>192</v>
      </c>
      <c r="C74" s="19" t="s">
        <v>193</v>
      </c>
      <c r="D74" s="19" t="s">
        <v>194</v>
      </c>
      <c r="E74" s="21" t="s">
        <v>195</v>
      </c>
      <c r="F74" s="20">
        <v>24.2</v>
      </c>
      <c r="G74" s="82">
        <v>260.79000000000002</v>
      </c>
      <c r="H74" s="82">
        <f t="shared" si="7"/>
        <v>335.94</v>
      </c>
      <c r="I74" s="82">
        <f t="shared" si="8"/>
        <v>8129.74</v>
      </c>
      <c r="J74" s="83">
        <f t="shared" si="0"/>
        <v>9.0681233713804394E-3</v>
      </c>
    </row>
    <row r="75" spans="1:10" ht="25.5" x14ac:dyDescent="0.2">
      <c r="A75" s="19" t="s">
        <v>660</v>
      </c>
      <c r="B75" s="20" t="s">
        <v>673</v>
      </c>
      <c r="C75" s="19" t="s">
        <v>15</v>
      </c>
      <c r="D75" s="19" t="s">
        <v>674</v>
      </c>
      <c r="E75" s="21" t="s">
        <v>32</v>
      </c>
      <c r="F75" s="20">
        <v>1</v>
      </c>
      <c r="G75" s="82">
        <v>618.91999999999996</v>
      </c>
      <c r="H75" s="82">
        <f t="shared" si="7"/>
        <v>797.29</v>
      </c>
      <c r="I75" s="82">
        <f t="shared" si="8"/>
        <v>797.29</v>
      </c>
      <c r="J75" s="83">
        <f t="shared" ref="J75:J138" si="9">I75 / 896518.46</f>
        <v>8.8931799574991463E-4</v>
      </c>
    </row>
    <row r="76" spans="1:10" ht="25.5" x14ac:dyDescent="0.2">
      <c r="A76" s="19" t="s">
        <v>661</v>
      </c>
      <c r="B76" s="20" t="s">
        <v>675</v>
      </c>
      <c r="C76" s="19" t="s">
        <v>15</v>
      </c>
      <c r="D76" s="19" t="s">
        <v>676</v>
      </c>
      <c r="E76" s="21" t="s">
        <v>5</v>
      </c>
      <c r="F76" s="20">
        <v>1.72</v>
      </c>
      <c r="G76" s="82">
        <v>1443.62</v>
      </c>
      <c r="H76" s="82">
        <f t="shared" si="7"/>
        <v>1859.67</v>
      </c>
      <c r="I76" s="82">
        <f t="shared" si="8"/>
        <v>3198.63</v>
      </c>
      <c r="J76" s="83">
        <f t="shared" si="9"/>
        <v>3.567835067222152E-3</v>
      </c>
    </row>
    <row r="77" spans="1:10" x14ac:dyDescent="0.2">
      <c r="A77" s="18" t="s">
        <v>196</v>
      </c>
      <c r="B77" s="18"/>
      <c r="C77" s="18"/>
      <c r="D77" s="18" t="s">
        <v>197</v>
      </c>
      <c r="E77" s="18"/>
      <c r="F77" s="39"/>
      <c r="G77" s="18"/>
      <c r="H77" s="18"/>
      <c r="I77" s="80">
        <v>196180.9</v>
      </c>
      <c r="J77" s="81">
        <f t="shared" si="9"/>
        <v>0.21882527661505152</v>
      </c>
    </row>
    <row r="78" spans="1:10" ht="25.5" x14ac:dyDescent="0.2">
      <c r="A78" s="19" t="s">
        <v>198</v>
      </c>
      <c r="B78" s="20" t="s">
        <v>199</v>
      </c>
      <c r="C78" s="19" t="s">
        <v>15</v>
      </c>
      <c r="D78" s="19" t="s">
        <v>200</v>
      </c>
      <c r="E78" s="21" t="s">
        <v>134</v>
      </c>
      <c r="F78" s="20">
        <v>3622.2</v>
      </c>
      <c r="G78" s="82">
        <v>27.3</v>
      </c>
      <c r="H78" s="82">
        <f t="shared" ref="H78:H83" si="10">TRUNC(G78 * (1 + 28.82 / 100), 2)</f>
        <v>35.159999999999997</v>
      </c>
      <c r="I78" s="82">
        <f t="shared" ref="I78:I83" si="11">TRUNC(F78 * H78, 2)</f>
        <v>127356.55</v>
      </c>
      <c r="J78" s="83">
        <f t="shared" si="9"/>
        <v>0.1420568071738311</v>
      </c>
    </row>
    <row r="79" spans="1:10" ht="25.5" x14ac:dyDescent="0.2">
      <c r="A79" s="19" t="s">
        <v>201</v>
      </c>
      <c r="B79" s="20" t="s">
        <v>202</v>
      </c>
      <c r="C79" s="19" t="s">
        <v>15</v>
      </c>
      <c r="D79" s="19" t="s">
        <v>203</v>
      </c>
      <c r="E79" s="21" t="s">
        <v>5</v>
      </c>
      <c r="F79" s="20">
        <v>102.81</v>
      </c>
      <c r="G79" s="82">
        <v>101.05</v>
      </c>
      <c r="H79" s="82">
        <f t="shared" si="10"/>
        <v>130.16999999999999</v>
      </c>
      <c r="I79" s="82">
        <f t="shared" si="11"/>
        <v>13382.77</v>
      </c>
      <c r="J79" s="83">
        <f t="shared" si="9"/>
        <v>1.4927489613543485E-2</v>
      </c>
    </row>
    <row r="80" spans="1:10" ht="25.5" x14ac:dyDescent="0.2">
      <c r="A80" s="19" t="s">
        <v>204</v>
      </c>
      <c r="B80" s="20" t="s">
        <v>205</v>
      </c>
      <c r="C80" s="19" t="s">
        <v>15</v>
      </c>
      <c r="D80" s="19" t="s">
        <v>206</v>
      </c>
      <c r="E80" s="21" t="s">
        <v>78</v>
      </c>
      <c r="F80" s="20">
        <v>42.5</v>
      </c>
      <c r="G80" s="82">
        <v>148.47</v>
      </c>
      <c r="H80" s="82">
        <f t="shared" si="10"/>
        <v>191.25</v>
      </c>
      <c r="I80" s="82">
        <f t="shared" si="11"/>
        <v>8128.12</v>
      </c>
      <c r="J80" s="83">
        <f t="shared" si="9"/>
        <v>9.0663163812600128E-3</v>
      </c>
    </row>
    <row r="81" spans="1:10" ht="25.5" x14ac:dyDescent="0.2">
      <c r="A81" s="19" t="s">
        <v>207</v>
      </c>
      <c r="B81" s="20" t="s">
        <v>677</v>
      </c>
      <c r="C81" s="19" t="s">
        <v>15</v>
      </c>
      <c r="D81" s="19" t="s">
        <v>678</v>
      </c>
      <c r="E81" s="21" t="s">
        <v>78</v>
      </c>
      <c r="F81" s="20">
        <v>13.8</v>
      </c>
      <c r="G81" s="82">
        <v>229.12</v>
      </c>
      <c r="H81" s="82">
        <f t="shared" si="10"/>
        <v>295.14999999999998</v>
      </c>
      <c r="I81" s="82">
        <f t="shared" si="11"/>
        <v>4073.07</v>
      </c>
      <c r="J81" s="83">
        <f t="shared" si="9"/>
        <v>4.5432081788923792E-3</v>
      </c>
    </row>
    <row r="82" spans="1:10" ht="25.5" x14ac:dyDescent="0.2">
      <c r="A82" s="19" t="s">
        <v>662</v>
      </c>
      <c r="B82" s="20" t="s">
        <v>208</v>
      </c>
      <c r="C82" s="19" t="s">
        <v>15</v>
      </c>
      <c r="D82" s="19" t="s">
        <v>209</v>
      </c>
      <c r="E82" s="21" t="s">
        <v>5</v>
      </c>
      <c r="F82" s="20">
        <v>29.75</v>
      </c>
      <c r="G82" s="82">
        <v>837.7</v>
      </c>
      <c r="H82" s="82">
        <f t="shared" si="10"/>
        <v>1079.1199999999999</v>
      </c>
      <c r="I82" s="82">
        <f t="shared" si="11"/>
        <v>32103.82</v>
      </c>
      <c r="J82" s="83">
        <f t="shared" si="9"/>
        <v>3.5809435535772462E-2</v>
      </c>
    </row>
    <row r="83" spans="1:10" ht="25.5" x14ac:dyDescent="0.2">
      <c r="A83" s="19" t="s">
        <v>775</v>
      </c>
      <c r="B83" s="20" t="s">
        <v>776</v>
      </c>
      <c r="C83" s="19" t="s">
        <v>15</v>
      </c>
      <c r="D83" s="19" t="s">
        <v>777</v>
      </c>
      <c r="E83" s="21" t="s">
        <v>5</v>
      </c>
      <c r="F83" s="20">
        <v>89</v>
      </c>
      <c r="G83" s="82">
        <v>97.14</v>
      </c>
      <c r="H83" s="82">
        <f t="shared" si="10"/>
        <v>125.13</v>
      </c>
      <c r="I83" s="82">
        <f t="shared" si="11"/>
        <v>11136.57</v>
      </c>
      <c r="J83" s="83">
        <f t="shared" si="9"/>
        <v>1.2422019731752094E-2</v>
      </c>
    </row>
    <row r="84" spans="1:10" x14ac:dyDescent="0.2">
      <c r="A84" s="18" t="s">
        <v>210</v>
      </c>
      <c r="B84" s="18"/>
      <c r="C84" s="18"/>
      <c r="D84" s="18" t="s">
        <v>211</v>
      </c>
      <c r="E84" s="18"/>
      <c r="F84" s="39"/>
      <c r="G84" s="18"/>
      <c r="H84" s="18"/>
      <c r="I84" s="80">
        <v>24249.49</v>
      </c>
      <c r="J84" s="81">
        <f t="shared" si="9"/>
        <v>2.7048511639124535E-2</v>
      </c>
    </row>
    <row r="85" spans="1:10" x14ac:dyDescent="0.2">
      <c r="A85" s="18" t="s">
        <v>212</v>
      </c>
      <c r="B85" s="18"/>
      <c r="C85" s="18"/>
      <c r="D85" s="18" t="s">
        <v>213</v>
      </c>
      <c r="E85" s="18"/>
      <c r="F85" s="39"/>
      <c r="G85" s="18"/>
      <c r="H85" s="18"/>
      <c r="I85" s="80">
        <v>9124.65</v>
      </c>
      <c r="J85" s="81">
        <f t="shared" si="9"/>
        <v>1.0177871853302385E-2</v>
      </c>
    </row>
    <row r="86" spans="1:10" ht="25.5" x14ac:dyDescent="0.2">
      <c r="A86" s="19" t="s">
        <v>214</v>
      </c>
      <c r="B86" s="20" t="s">
        <v>215</v>
      </c>
      <c r="C86" s="19" t="s">
        <v>15</v>
      </c>
      <c r="D86" s="19" t="s">
        <v>216</v>
      </c>
      <c r="E86" s="21" t="s">
        <v>78</v>
      </c>
      <c r="F86" s="20">
        <v>2</v>
      </c>
      <c r="G86" s="82">
        <v>45.75</v>
      </c>
      <c r="H86" s="82">
        <f t="shared" ref="H86:H94" si="12">TRUNC(G86 * (1 + 28.82 / 100), 2)</f>
        <v>58.93</v>
      </c>
      <c r="I86" s="82">
        <f t="shared" ref="I86:I94" si="13">TRUNC(F86 * H86, 2)</f>
        <v>117.86</v>
      </c>
      <c r="J86" s="83">
        <f t="shared" si="9"/>
        <v>1.314641083910308E-4</v>
      </c>
    </row>
    <row r="87" spans="1:10" ht="25.5" x14ac:dyDescent="0.2">
      <c r="A87" s="19" t="s">
        <v>217</v>
      </c>
      <c r="B87" s="20" t="s">
        <v>218</v>
      </c>
      <c r="C87" s="19" t="s">
        <v>15</v>
      </c>
      <c r="D87" s="19" t="s">
        <v>219</v>
      </c>
      <c r="E87" s="21" t="s">
        <v>78</v>
      </c>
      <c r="F87" s="20">
        <v>2</v>
      </c>
      <c r="G87" s="82">
        <v>43.62</v>
      </c>
      <c r="H87" s="82">
        <f t="shared" si="12"/>
        <v>56.19</v>
      </c>
      <c r="I87" s="82">
        <f t="shared" si="13"/>
        <v>112.38</v>
      </c>
      <c r="J87" s="83">
        <f t="shared" si="9"/>
        <v>1.2535157390958798E-4</v>
      </c>
    </row>
    <row r="88" spans="1:10" ht="25.5" x14ac:dyDescent="0.2">
      <c r="A88" s="19" t="s">
        <v>220</v>
      </c>
      <c r="B88" s="20" t="s">
        <v>221</v>
      </c>
      <c r="C88" s="19" t="s">
        <v>15</v>
      </c>
      <c r="D88" s="19" t="s">
        <v>222</v>
      </c>
      <c r="E88" s="21" t="s">
        <v>78</v>
      </c>
      <c r="F88" s="20">
        <v>20</v>
      </c>
      <c r="G88" s="82">
        <v>74.52</v>
      </c>
      <c r="H88" s="82">
        <f t="shared" si="12"/>
        <v>95.99</v>
      </c>
      <c r="I88" s="82">
        <f t="shared" si="13"/>
        <v>1919.8</v>
      </c>
      <c r="J88" s="83">
        <f t="shared" si="9"/>
        <v>2.141394835305455E-3</v>
      </c>
    </row>
    <row r="89" spans="1:10" ht="25.5" x14ac:dyDescent="0.2">
      <c r="A89" s="19" t="s">
        <v>223</v>
      </c>
      <c r="B89" s="20" t="s">
        <v>224</v>
      </c>
      <c r="C89" s="19" t="s">
        <v>15</v>
      </c>
      <c r="D89" s="19" t="s">
        <v>225</v>
      </c>
      <c r="E89" s="21" t="s">
        <v>32</v>
      </c>
      <c r="F89" s="20">
        <v>4</v>
      </c>
      <c r="G89" s="82">
        <v>42.24</v>
      </c>
      <c r="H89" s="82">
        <f t="shared" si="12"/>
        <v>54.41</v>
      </c>
      <c r="I89" s="82">
        <f t="shared" si="13"/>
        <v>217.64</v>
      </c>
      <c r="J89" s="83">
        <f t="shared" si="9"/>
        <v>2.4276131469730137E-4</v>
      </c>
    </row>
    <row r="90" spans="1:10" ht="25.5" x14ac:dyDescent="0.2">
      <c r="A90" s="19" t="s">
        <v>226</v>
      </c>
      <c r="B90" s="20" t="s">
        <v>227</v>
      </c>
      <c r="C90" s="19" t="s">
        <v>15</v>
      </c>
      <c r="D90" s="19" t="s">
        <v>228</v>
      </c>
      <c r="E90" s="21" t="s">
        <v>32</v>
      </c>
      <c r="F90" s="20">
        <v>1</v>
      </c>
      <c r="G90" s="82">
        <v>403.87</v>
      </c>
      <c r="H90" s="82">
        <f t="shared" si="12"/>
        <v>520.26</v>
      </c>
      <c r="I90" s="82">
        <f t="shared" si="13"/>
        <v>520.26</v>
      </c>
      <c r="J90" s="83">
        <f t="shared" si="9"/>
        <v>5.8031153089697679E-4</v>
      </c>
    </row>
    <row r="91" spans="1:10" ht="25.5" x14ac:dyDescent="0.2">
      <c r="A91" s="19" t="s">
        <v>229</v>
      </c>
      <c r="B91" s="20" t="s">
        <v>230</v>
      </c>
      <c r="C91" s="19" t="s">
        <v>15</v>
      </c>
      <c r="D91" s="19" t="s">
        <v>231</v>
      </c>
      <c r="E91" s="21" t="s">
        <v>32</v>
      </c>
      <c r="F91" s="20">
        <v>2</v>
      </c>
      <c r="G91" s="82">
        <v>953.87</v>
      </c>
      <c r="H91" s="82">
        <f t="shared" si="12"/>
        <v>1228.77</v>
      </c>
      <c r="I91" s="82">
        <f t="shared" si="13"/>
        <v>2457.54</v>
      </c>
      <c r="J91" s="83">
        <f t="shared" si="9"/>
        <v>2.7412040126870338E-3</v>
      </c>
    </row>
    <row r="92" spans="1:10" ht="25.5" x14ac:dyDescent="0.2">
      <c r="A92" s="19" t="s">
        <v>232</v>
      </c>
      <c r="B92" s="20" t="s">
        <v>233</v>
      </c>
      <c r="C92" s="19" t="s">
        <v>15</v>
      </c>
      <c r="D92" s="19" t="s">
        <v>234</v>
      </c>
      <c r="E92" s="21" t="s">
        <v>32</v>
      </c>
      <c r="F92" s="20">
        <v>2</v>
      </c>
      <c r="G92" s="82">
        <v>94.57</v>
      </c>
      <c r="H92" s="82">
        <f t="shared" si="12"/>
        <v>121.82</v>
      </c>
      <c r="I92" s="82">
        <f t="shared" si="13"/>
        <v>243.64</v>
      </c>
      <c r="J92" s="83">
        <f t="shared" si="9"/>
        <v>2.7176239070414682E-4</v>
      </c>
    </row>
    <row r="93" spans="1:10" ht="25.5" x14ac:dyDescent="0.2">
      <c r="A93" s="19" t="s">
        <v>235</v>
      </c>
      <c r="B93" s="20" t="s">
        <v>236</v>
      </c>
      <c r="C93" s="19" t="s">
        <v>15</v>
      </c>
      <c r="D93" s="19" t="s">
        <v>237</v>
      </c>
      <c r="E93" s="21" t="s">
        <v>32</v>
      </c>
      <c r="F93" s="20">
        <v>1</v>
      </c>
      <c r="G93" s="82">
        <v>108.36</v>
      </c>
      <c r="H93" s="82">
        <f t="shared" si="12"/>
        <v>139.58000000000001</v>
      </c>
      <c r="I93" s="82">
        <f t="shared" si="13"/>
        <v>139.58000000000001</v>
      </c>
      <c r="J93" s="83">
        <f t="shared" si="9"/>
        <v>1.5569116111674937E-4</v>
      </c>
    </row>
    <row r="94" spans="1:10" x14ac:dyDescent="0.2">
      <c r="A94" s="19" t="s">
        <v>238</v>
      </c>
      <c r="B94" s="20" t="s">
        <v>239</v>
      </c>
      <c r="C94" s="19" t="s">
        <v>240</v>
      </c>
      <c r="D94" s="19" t="s">
        <v>241</v>
      </c>
      <c r="E94" s="21" t="s">
        <v>32</v>
      </c>
      <c r="F94" s="20">
        <v>1</v>
      </c>
      <c r="G94" s="82">
        <v>2636.2</v>
      </c>
      <c r="H94" s="82">
        <f t="shared" si="12"/>
        <v>3395.95</v>
      </c>
      <c r="I94" s="82">
        <f t="shared" si="13"/>
        <v>3395.95</v>
      </c>
      <c r="J94" s="83">
        <f t="shared" si="9"/>
        <v>3.7879309255941032E-3</v>
      </c>
    </row>
    <row r="95" spans="1:10" x14ac:dyDescent="0.2">
      <c r="A95" s="18" t="s">
        <v>242</v>
      </c>
      <c r="B95" s="18"/>
      <c r="C95" s="18"/>
      <c r="D95" s="18" t="s">
        <v>243</v>
      </c>
      <c r="E95" s="18"/>
      <c r="F95" s="39"/>
      <c r="G95" s="18"/>
      <c r="H95" s="18"/>
      <c r="I95" s="80">
        <v>6438.58</v>
      </c>
      <c r="J95" s="81">
        <f t="shared" si="9"/>
        <v>7.1817595367751827E-3</v>
      </c>
    </row>
    <row r="96" spans="1:10" ht="25.5" x14ac:dyDescent="0.2">
      <c r="A96" s="19" t="s">
        <v>244</v>
      </c>
      <c r="B96" s="20" t="s">
        <v>245</v>
      </c>
      <c r="C96" s="19" t="s">
        <v>15</v>
      </c>
      <c r="D96" s="19" t="s">
        <v>246</v>
      </c>
      <c r="E96" s="21" t="s">
        <v>32</v>
      </c>
      <c r="F96" s="20">
        <v>2</v>
      </c>
      <c r="G96" s="82">
        <v>109.75</v>
      </c>
      <c r="H96" s="82">
        <f t="shared" ref="H96:H103" si="14">TRUNC(G96 * (1 + 28.82 / 100), 2)</f>
        <v>141.37</v>
      </c>
      <c r="I96" s="82">
        <f t="shared" ref="I96:I103" si="15">TRUNC(F96 * H96, 2)</f>
        <v>282.74</v>
      </c>
      <c r="J96" s="83">
        <f t="shared" si="9"/>
        <v>3.1537554731444128E-4</v>
      </c>
    </row>
    <row r="97" spans="1:10" ht="25.5" x14ac:dyDescent="0.2">
      <c r="A97" s="19" t="s">
        <v>247</v>
      </c>
      <c r="B97" s="20" t="s">
        <v>248</v>
      </c>
      <c r="C97" s="19" t="s">
        <v>15</v>
      </c>
      <c r="D97" s="19" t="s">
        <v>249</v>
      </c>
      <c r="E97" s="21" t="s">
        <v>78</v>
      </c>
      <c r="F97" s="20">
        <v>30</v>
      </c>
      <c r="G97" s="82">
        <v>29.05</v>
      </c>
      <c r="H97" s="82">
        <f t="shared" si="14"/>
        <v>37.42</v>
      </c>
      <c r="I97" s="82">
        <f t="shared" si="15"/>
        <v>1122.5999999999999</v>
      </c>
      <c r="J97" s="83">
        <f t="shared" si="9"/>
        <v>1.2521772278955639E-3</v>
      </c>
    </row>
    <row r="98" spans="1:10" ht="25.5" x14ac:dyDescent="0.2">
      <c r="A98" s="19" t="s">
        <v>250</v>
      </c>
      <c r="B98" s="20" t="s">
        <v>251</v>
      </c>
      <c r="C98" s="19" t="s">
        <v>15</v>
      </c>
      <c r="D98" s="19" t="s">
        <v>252</v>
      </c>
      <c r="E98" s="21" t="s">
        <v>78</v>
      </c>
      <c r="F98" s="20">
        <v>5</v>
      </c>
      <c r="G98" s="82">
        <v>48.43</v>
      </c>
      <c r="H98" s="82">
        <f t="shared" si="14"/>
        <v>62.38</v>
      </c>
      <c r="I98" s="82">
        <f t="shared" si="15"/>
        <v>311.89999999999998</v>
      </c>
      <c r="J98" s="83">
        <f t="shared" si="9"/>
        <v>3.4790136948211864E-4</v>
      </c>
    </row>
    <row r="99" spans="1:10" ht="25.5" x14ac:dyDescent="0.2">
      <c r="A99" s="19" t="s">
        <v>253</v>
      </c>
      <c r="B99" s="20" t="s">
        <v>679</v>
      </c>
      <c r="C99" s="19" t="s">
        <v>15</v>
      </c>
      <c r="D99" s="19" t="s">
        <v>680</v>
      </c>
      <c r="E99" s="21" t="s">
        <v>32</v>
      </c>
      <c r="F99" s="20">
        <v>1</v>
      </c>
      <c r="G99" s="82">
        <v>618.85</v>
      </c>
      <c r="H99" s="82">
        <f t="shared" si="14"/>
        <v>797.2</v>
      </c>
      <c r="I99" s="82">
        <f t="shared" si="15"/>
        <v>797.2</v>
      </c>
      <c r="J99" s="83">
        <f t="shared" si="9"/>
        <v>8.8921760740989103E-4</v>
      </c>
    </row>
    <row r="100" spans="1:10" ht="25.5" x14ac:dyDescent="0.2">
      <c r="A100" s="19" t="s">
        <v>254</v>
      </c>
      <c r="B100" s="20" t="s">
        <v>255</v>
      </c>
      <c r="C100" s="19" t="s">
        <v>15</v>
      </c>
      <c r="D100" s="19" t="s">
        <v>256</v>
      </c>
      <c r="E100" s="21" t="s">
        <v>32</v>
      </c>
      <c r="F100" s="20">
        <v>1</v>
      </c>
      <c r="G100" s="82">
        <v>121.17</v>
      </c>
      <c r="H100" s="82">
        <f t="shared" si="14"/>
        <v>156.09</v>
      </c>
      <c r="I100" s="82">
        <f t="shared" si="15"/>
        <v>156.09</v>
      </c>
      <c r="J100" s="83">
        <f t="shared" si="9"/>
        <v>1.741068443810962E-4</v>
      </c>
    </row>
    <row r="101" spans="1:10" ht="25.5" x14ac:dyDescent="0.2">
      <c r="A101" s="19" t="s">
        <v>257</v>
      </c>
      <c r="B101" s="20" t="s">
        <v>258</v>
      </c>
      <c r="C101" s="19" t="s">
        <v>15</v>
      </c>
      <c r="D101" s="19" t="s">
        <v>259</v>
      </c>
      <c r="E101" s="21" t="s">
        <v>78</v>
      </c>
      <c r="F101" s="20">
        <v>65</v>
      </c>
      <c r="G101" s="82">
        <v>37.06</v>
      </c>
      <c r="H101" s="82">
        <f t="shared" si="14"/>
        <v>47.74</v>
      </c>
      <c r="I101" s="82">
        <f t="shared" si="15"/>
        <v>3103.1</v>
      </c>
      <c r="J101" s="83">
        <f t="shared" si="9"/>
        <v>3.4612784214170002E-3</v>
      </c>
    </row>
    <row r="102" spans="1:10" ht="25.5" x14ac:dyDescent="0.2">
      <c r="A102" s="19" t="s">
        <v>260</v>
      </c>
      <c r="B102" s="20" t="s">
        <v>261</v>
      </c>
      <c r="C102" s="19" t="s">
        <v>15</v>
      </c>
      <c r="D102" s="19" t="s">
        <v>262</v>
      </c>
      <c r="E102" s="21" t="s">
        <v>32</v>
      </c>
      <c r="F102" s="20">
        <v>2</v>
      </c>
      <c r="G102" s="82">
        <v>73.66</v>
      </c>
      <c r="H102" s="82">
        <f t="shared" si="14"/>
        <v>94.88</v>
      </c>
      <c r="I102" s="82">
        <f t="shared" si="15"/>
        <v>189.76</v>
      </c>
      <c r="J102" s="83">
        <f t="shared" si="9"/>
        <v>2.11663237809961E-4</v>
      </c>
    </row>
    <row r="103" spans="1:10" ht="25.5" x14ac:dyDescent="0.2">
      <c r="A103" s="19" t="s">
        <v>263</v>
      </c>
      <c r="B103" s="20" t="s">
        <v>264</v>
      </c>
      <c r="C103" s="19" t="s">
        <v>15</v>
      </c>
      <c r="D103" s="19" t="s">
        <v>265</v>
      </c>
      <c r="E103" s="21" t="s">
        <v>32</v>
      </c>
      <c r="F103" s="20">
        <v>1</v>
      </c>
      <c r="G103" s="82">
        <v>368.88</v>
      </c>
      <c r="H103" s="82">
        <f t="shared" si="14"/>
        <v>475.19</v>
      </c>
      <c r="I103" s="82">
        <f t="shared" si="15"/>
        <v>475.19</v>
      </c>
      <c r="J103" s="83">
        <f t="shared" si="9"/>
        <v>5.3003928106511047E-4</v>
      </c>
    </row>
    <row r="104" spans="1:10" x14ac:dyDescent="0.2">
      <c r="A104" s="18" t="s">
        <v>266</v>
      </c>
      <c r="B104" s="18"/>
      <c r="C104" s="18"/>
      <c r="D104" s="18" t="s">
        <v>267</v>
      </c>
      <c r="E104" s="18"/>
      <c r="F104" s="39"/>
      <c r="G104" s="18"/>
      <c r="H104" s="18"/>
      <c r="I104" s="80">
        <v>2124.0100000000002</v>
      </c>
      <c r="J104" s="81">
        <f t="shared" si="9"/>
        <v>2.3691759788192208E-3</v>
      </c>
    </row>
    <row r="105" spans="1:10" ht="25.5" x14ac:dyDescent="0.2">
      <c r="A105" s="19" t="s">
        <v>268</v>
      </c>
      <c r="B105" s="20" t="s">
        <v>271</v>
      </c>
      <c r="C105" s="19" t="s">
        <v>15</v>
      </c>
      <c r="D105" s="19" t="s">
        <v>272</v>
      </c>
      <c r="E105" s="21" t="s">
        <v>78</v>
      </c>
      <c r="F105" s="20">
        <v>6</v>
      </c>
      <c r="G105" s="82">
        <v>104.43</v>
      </c>
      <c r="H105" s="82">
        <f>TRUNC(G105 * (1 + 28.82 / 100), 2)</f>
        <v>134.52000000000001</v>
      </c>
      <c r="I105" s="82">
        <f>TRUNC(F105 * H105, 2)</f>
        <v>807.12</v>
      </c>
      <c r="J105" s="83">
        <f t="shared" si="9"/>
        <v>9.0028263333250273E-4</v>
      </c>
    </row>
    <row r="106" spans="1:10" ht="25.5" x14ac:dyDescent="0.2">
      <c r="A106" s="19" t="s">
        <v>269</v>
      </c>
      <c r="B106" s="20" t="s">
        <v>273</v>
      </c>
      <c r="C106" s="19" t="s">
        <v>31</v>
      </c>
      <c r="D106" s="19" t="s">
        <v>274</v>
      </c>
      <c r="E106" s="21" t="s">
        <v>32</v>
      </c>
      <c r="F106" s="20">
        <v>2</v>
      </c>
      <c r="G106" s="82">
        <v>195.3</v>
      </c>
      <c r="H106" s="82">
        <f>TRUNC(G106 * (1 + 28.82 / 100), 2)</f>
        <v>251.58</v>
      </c>
      <c r="I106" s="82">
        <f>TRUNC(F106 * H106, 2)</f>
        <v>503.16</v>
      </c>
      <c r="J106" s="83">
        <f t="shared" si="9"/>
        <v>5.6123774629247456E-4</v>
      </c>
    </row>
    <row r="107" spans="1:10" x14ac:dyDescent="0.2">
      <c r="A107" s="18" t="s">
        <v>270</v>
      </c>
      <c r="B107" s="18"/>
      <c r="C107" s="18"/>
      <c r="D107" s="18" t="s">
        <v>608</v>
      </c>
      <c r="E107" s="18"/>
      <c r="F107" s="39"/>
      <c r="G107" s="18"/>
      <c r="H107" s="18"/>
      <c r="I107" s="80">
        <v>813.73</v>
      </c>
      <c r="J107" s="81">
        <f t="shared" si="9"/>
        <v>9.076555991942431E-4</v>
      </c>
    </row>
    <row r="108" spans="1:10" ht="25.5" x14ac:dyDescent="0.2">
      <c r="A108" s="19" t="s">
        <v>666</v>
      </c>
      <c r="B108" s="20" t="s">
        <v>609</v>
      </c>
      <c r="C108" s="19" t="s">
        <v>31</v>
      </c>
      <c r="D108" s="19" t="s">
        <v>610</v>
      </c>
      <c r="E108" s="21" t="s">
        <v>50</v>
      </c>
      <c r="F108" s="20">
        <v>0.19</v>
      </c>
      <c r="G108" s="82">
        <v>115.41</v>
      </c>
      <c r="H108" s="82">
        <f t="shared" ref="H108:H113" si="16">TRUNC(G108 * (1 + 28.82 / 100), 2)</f>
        <v>148.66999999999999</v>
      </c>
      <c r="I108" s="82">
        <f t="shared" ref="I108:I113" si="17">TRUNC(F108 * H108, 2)</f>
        <v>28.24</v>
      </c>
      <c r="J108" s="83">
        <f t="shared" si="9"/>
        <v>3.1499630247435171E-5</v>
      </c>
    </row>
    <row r="109" spans="1:10" ht="38.25" x14ac:dyDescent="0.2">
      <c r="A109" s="19" t="s">
        <v>667</v>
      </c>
      <c r="B109" s="20" t="s">
        <v>611</v>
      </c>
      <c r="C109" s="19" t="s">
        <v>31</v>
      </c>
      <c r="D109" s="19" t="s">
        <v>681</v>
      </c>
      <c r="E109" s="21" t="s">
        <v>5</v>
      </c>
      <c r="F109" s="20">
        <v>1.1000000000000001</v>
      </c>
      <c r="G109" s="82">
        <v>94.7</v>
      </c>
      <c r="H109" s="82">
        <f t="shared" si="16"/>
        <v>121.99</v>
      </c>
      <c r="I109" s="82">
        <f t="shared" si="17"/>
        <v>134.18</v>
      </c>
      <c r="J109" s="83">
        <f t="shared" si="9"/>
        <v>1.4966786071532763E-4</v>
      </c>
    </row>
    <row r="110" spans="1:10" ht="25.5" x14ac:dyDescent="0.2">
      <c r="A110" s="19" t="s">
        <v>668</v>
      </c>
      <c r="B110" s="20" t="s">
        <v>132</v>
      </c>
      <c r="C110" s="19" t="s">
        <v>15</v>
      </c>
      <c r="D110" s="19" t="s">
        <v>133</v>
      </c>
      <c r="E110" s="21" t="s">
        <v>134</v>
      </c>
      <c r="F110" s="20">
        <v>18.260000000000002</v>
      </c>
      <c r="G110" s="82">
        <v>10.38</v>
      </c>
      <c r="H110" s="82">
        <f t="shared" si="16"/>
        <v>13.37</v>
      </c>
      <c r="I110" s="82">
        <f t="shared" si="17"/>
        <v>244.13</v>
      </c>
      <c r="J110" s="83">
        <f t="shared" si="9"/>
        <v>2.7230894944427583E-4</v>
      </c>
    </row>
    <row r="111" spans="1:10" ht="38.25" x14ac:dyDescent="0.2">
      <c r="A111" s="19" t="s">
        <v>669</v>
      </c>
      <c r="B111" s="20" t="s">
        <v>682</v>
      </c>
      <c r="C111" s="19" t="s">
        <v>31</v>
      </c>
      <c r="D111" s="19" t="s">
        <v>612</v>
      </c>
      <c r="E111" s="21" t="s">
        <v>50</v>
      </c>
      <c r="F111" s="20">
        <v>0.5</v>
      </c>
      <c r="G111" s="82">
        <v>535.45000000000005</v>
      </c>
      <c r="H111" s="82">
        <f t="shared" si="16"/>
        <v>689.76</v>
      </c>
      <c r="I111" s="82">
        <f t="shared" si="17"/>
        <v>344.88</v>
      </c>
      <c r="J111" s="83">
        <f t="shared" si="9"/>
        <v>3.846881189708018E-4</v>
      </c>
    </row>
    <row r="112" spans="1:10" ht="25.5" x14ac:dyDescent="0.2">
      <c r="A112" s="19" t="s">
        <v>670</v>
      </c>
      <c r="B112" s="20" t="s">
        <v>683</v>
      </c>
      <c r="C112" s="19" t="s">
        <v>31</v>
      </c>
      <c r="D112" s="19" t="s">
        <v>613</v>
      </c>
      <c r="E112" s="21" t="s">
        <v>50</v>
      </c>
      <c r="F112" s="20">
        <v>0.5</v>
      </c>
      <c r="G112" s="82">
        <v>51.19</v>
      </c>
      <c r="H112" s="82">
        <f t="shared" si="16"/>
        <v>65.94</v>
      </c>
      <c r="I112" s="82">
        <f t="shared" si="17"/>
        <v>32.97</v>
      </c>
      <c r="J112" s="83">
        <f t="shared" si="9"/>
        <v>3.6775595228680512E-5</v>
      </c>
    </row>
    <row r="113" spans="1:10" ht="25.5" x14ac:dyDescent="0.2">
      <c r="A113" s="19" t="s">
        <v>671</v>
      </c>
      <c r="B113" s="20" t="s">
        <v>614</v>
      </c>
      <c r="C113" s="19" t="s">
        <v>15</v>
      </c>
      <c r="D113" s="19" t="s">
        <v>615</v>
      </c>
      <c r="E113" s="21" t="s">
        <v>5</v>
      </c>
      <c r="F113" s="20">
        <v>0.1</v>
      </c>
      <c r="G113" s="82">
        <v>227.75</v>
      </c>
      <c r="H113" s="82">
        <f t="shared" si="16"/>
        <v>293.38</v>
      </c>
      <c r="I113" s="82">
        <f t="shared" si="17"/>
        <v>29.33</v>
      </c>
      <c r="J113" s="83">
        <f t="shared" si="9"/>
        <v>3.2715444587722154E-5</v>
      </c>
    </row>
    <row r="114" spans="1:10" x14ac:dyDescent="0.2">
      <c r="A114" s="18" t="s">
        <v>276</v>
      </c>
      <c r="B114" s="18"/>
      <c r="C114" s="18"/>
      <c r="D114" s="18" t="s">
        <v>277</v>
      </c>
      <c r="E114" s="18"/>
      <c r="F114" s="39"/>
      <c r="G114" s="18"/>
      <c r="H114" s="18"/>
      <c r="I114" s="80">
        <v>6138.57</v>
      </c>
      <c r="J114" s="81">
        <f t="shared" si="9"/>
        <v>6.8471205824361947E-3</v>
      </c>
    </row>
    <row r="115" spans="1:10" ht="25.5" x14ac:dyDescent="0.2">
      <c r="A115" s="19" t="s">
        <v>278</v>
      </c>
      <c r="B115" s="20" t="s">
        <v>279</v>
      </c>
      <c r="C115" s="19" t="s">
        <v>15</v>
      </c>
      <c r="D115" s="19" t="s">
        <v>280</v>
      </c>
      <c r="E115" s="21" t="s">
        <v>281</v>
      </c>
      <c r="F115" s="20">
        <v>1</v>
      </c>
      <c r="G115" s="82">
        <v>838.8</v>
      </c>
      <c r="H115" s="82">
        <f t="shared" ref="H115:H125" si="18">TRUNC(G115 * (1 + 28.82 / 100), 2)</f>
        <v>1080.54</v>
      </c>
      <c r="I115" s="82">
        <f t="shared" ref="I115:I125" si="19">TRUNC(F115 * H115, 2)</f>
        <v>1080.54</v>
      </c>
      <c r="J115" s="83">
        <f t="shared" si="9"/>
        <v>1.2052624103244902E-3</v>
      </c>
    </row>
    <row r="116" spans="1:10" ht="25.5" x14ac:dyDescent="0.2">
      <c r="A116" s="19" t="s">
        <v>282</v>
      </c>
      <c r="B116" s="20" t="s">
        <v>283</v>
      </c>
      <c r="C116" s="19" t="s">
        <v>15</v>
      </c>
      <c r="D116" s="19" t="s">
        <v>284</v>
      </c>
      <c r="E116" s="21" t="s">
        <v>32</v>
      </c>
      <c r="F116" s="20">
        <v>1</v>
      </c>
      <c r="G116" s="82">
        <v>962.41</v>
      </c>
      <c r="H116" s="82">
        <f t="shared" si="18"/>
        <v>1239.77</v>
      </c>
      <c r="I116" s="82">
        <f t="shared" si="19"/>
        <v>1239.77</v>
      </c>
      <c r="J116" s="83">
        <f t="shared" si="9"/>
        <v>1.382871692346413E-3</v>
      </c>
    </row>
    <row r="117" spans="1:10" ht="25.5" x14ac:dyDescent="0.2">
      <c r="A117" s="19" t="s">
        <v>285</v>
      </c>
      <c r="B117" s="20" t="s">
        <v>286</v>
      </c>
      <c r="C117" s="19" t="s">
        <v>15</v>
      </c>
      <c r="D117" s="19" t="s">
        <v>287</v>
      </c>
      <c r="E117" s="21" t="s">
        <v>32</v>
      </c>
      <c r="F117" s="20">
        <v>1</v>
      </c>
      <c r="G117" s="82">
        <v>861.36</v>
      </c>
      <c r="H117" s="82">
        <f t="shared" si="18"/>
        <v>1109.5999999999999</v>
      </c>
      <c r="I117" s="82">
        <f t="shared" si="19"/>
        <v>1109.5999999999999</v>
      </c>
      <c r="J117" s="83">
        <f t="shared" si="9"/>
        <v>1.2376766898921411E-3</v>
      </c>
    </row>
    <row r="118" spans="1:10" ht="25.5" x14ac:dyDescent="0.2">
      <c r="A118" s="19" t="s">
        <v>288</v>
      </c>
      <c r="B118" s="20" t="s">
        <v>289</v>
      </c>
      <c r="C118" s="19" t="s">
        <v>31</v>
      </c>
      <c r="D118" s="19" t="s">
        <v>290</v>
      </c>
      <c r="E118" s="21" t="s">
        <v>5</v>
      </c>
      <c r="F118" s="20">
        <v>0.24</v>
      </c>
      <c r="G118" s="82">
        <v>721.32</v>
      </c>
      <c r="H118" s="82">
        <f t="shared" si="18"/>
        <v>929.2</v>
      </c>
      <c r="I118" s="82">
        <f t="shared" si="19"/>
        <v>223</v>
      </c>
      <c r="J118" s="83">
        <f t="shared" si="9"/>
        <v>2.487399980587126E-4</v>
      </c>
    </row>
    <row r="119" spans="1:10" ht="25.5" x14ac:dyDescent="0.2">
      <c r="A119" s="19" t="s">
        <v>291</v>
      </c>
      <c r="B119" s="20" t="s">
        <v>292</v>
      </c>
      <c r="C119" s="19" t="s">
        <v>31</v>
      </c>
      <c r="D119" s="19" t="s">
        <v>293</v>
      </c>
      <c r="E119" s="21" t="s">
        <v>32</v>
      </c>
      <c r="F119" s="20">
        <v>1</v>
      </c>
      <c r="G119" s="82">
        <v>68.69</v>
      </c>
      <c r="H119" s="82">
        <f t="shared" si="18"/>
        <v>88.48</v>
      </c>
      <c r="I119" s="82">
        <f t="shared" si="19"/>
        <v>88.48</v>
      </c>
      <c r="J119" s="83">
        <f t="shared" si="9"/>
        <v>9.8692892503295481E-5</v>
      </c>
    </row>
    <row r="120" spans="1:10" ht="25.5" x14ac:dyDescent="0.2">
      <c r="A120" s="19" t="s">
        <v>294</v>
      </c>
      <c r="B120" s="20" t="s">
        <v>295</v>
      </c>
      <c r="C120" s="19" t="s">
        <v>275</v>
      </c>
      <c r="D120" s="19" t="s">
        <v>296</v>
      </c>
      <c r="E120" s="21" t="s">
        <v>32</v>
      </c>
      <c r="F120" s="20">
        <v>1</v>
      </c>
      <c r="G120" s="82">
        <v>243.32</v>
      </c>
      <c r="H120" s="82">
        <f t="shared" si="18"/>
        <v>313.44</v>
      </c>
      <c r="I120" s="82">
        <f t="shared" si="19"/>
        <v>313.44</v>
      </c>
      <c r="J120" s="83">
        <f t="shared" si="9"/>
        <v>3.4961912552252408E-4</v>
      </c>
    </row>
    <row r="121" spans="1:10" ht="25.5" x14ac:dyDescent="0.2">
      <c r="A121" s="19" t="s">
        <v>297</v>
      </c>
      <c r="B121" s="20" t="s">
        <v>299</v>
      </c>
      <c r="C121" s="19" t="s">
        <v>15</v>
      </c>
      <c r="D121" s="19" t="s">
        <v>300</v>
      </c>
      <c r="E121" s="21" t="s">
        <v>32</v>
      </c>
      <c r="F121" s="20">
        <v>1</v>
      </c>
      <c r="G121" s="82">
        <v>74.459999999999994</v>
      </c>
      <c r="H121" s="82">
        <f t="shared" si="18"/>
        <v>95.91</v>
      </c>
      <c r="I121" s="82">
        <f t="shared" si="19"/>
        <v>95.91</v>
      </c>
      <c r="J121" s="83">
        <f t="shared" si="9"/>
        <v>1.0698050768525168E-4</v>
      </c>
    </row>
    <row r="122" spans="1:10" ht="25.5" x14ac:dyDescent="0.2">
      <c r="A122" s="19" t="s">
        <v>298</v>
      </c>
      <c r="B122" s="20" t="s">
        <v>302</v>
      </c>
      <c r="C122" s="19" t="s">
        <v>15</v>
      </c>
      <c r="D122" s="19" t="s">
        <v>303</v>
      </c>
      <c r="E122" s="21" t="s">
        <v>5</v>
      </c>
      <c r="F122" s="20">
        <v>0.66</v>
      </c>
      <c r="G122" s="82">
        <v>977.96</v>
      </c>
      <c r="H122" s="82">
        <f t="shared" si="18"/>
        <v>1259.8</v>
      </c>
      <c r="I122" s="82">
        <f t="shared" si="19"/>
        <v>831.46</v>
      </c>
      <c r="J122" s="83">
        <f t="shared" si="9"/>
        <v>9.2743210217891112E-4</v>
      </c>
    </row>
    <row r="123" spans="1:10" ht="25.5" x14ac:dyDescent="0.2">
      <c r="A123" s="19" t="s">
        <v>301</v>
      </c>
      <c r="B123" s="20" t="s">
        <v>684</v>
      </c>
      <c r="C123" s="19" t="s">
        <v>15</v>
      </c>
      <c r="D123" s="19" t="s">
        <v>685</v>
      </c>
      <c r="E123" s="21" t="s">
        <v>32</v>
      </c>
      <c r="F123" s="20">
        <v>1</v>
      </c>
      <c r="G123" s="82">
        <v>640.4</v>
      </c>
      <c r="H123" s="82">
        <f t="shared" si="18"/>
        <v>824.96</v>
      </c>
      <c r="I123" s="82">
        <f t="shared" si="19"/>
        <v>824.96</v>
      </c>
      <c r="J123" s="83">
        <f t="shared" si="9"/>
        <v>9.2018183317719982E-4</v>
      </c>
    </row>
    <row r="124" spans="1:10" ht="25.5" x14ac:dyDescent="0.2">
      <c r="A124" s="19" t="s">
        <v>304</v>
      </c>
      <c r="B124" s="20" t="s">
        <v>306</v>
      </c>
      <c r="C124" s="19" t="s">
        <v>15</v>
      </c>
      <c r="D124" s="19" t="s">
        <v>307</v>
      </c>
      <c r="E124" s="21" t="s">
        <v>32</v>
      </c>
      <c r="F124" s="20">
        <v>1</v>
      </c>
      <c r="G124" s="82">
        <v>199.84</v>
      </c>
      <c r="H124" s="82">
        <f t="shared" si="18"/>
        <v>257.43</v>
      </c>
      <c r="I124" s="82">
        <f t="shared" si="19"/>
        <v>257.43</v>
      </c>
      <c r="J124" s="83">
        <f t="shared" si="9"/>
        <v>2.8714411524777749E-4</v>
      </c>
    </row>
    <row r="125" spans="1:10" ht="25.5" x14ac:dyDescent="0.2">
      <c r="A125" s="19" t="s">
        <v>305</v>
      </c>
      <c r="B125" s="20" t="s">
        <v>308</v>
      </c>
      <c r="C125" s="19" t="s">
        <v>15</v>
      </c>
      <c r="D125" s="19" t="s">
        <v>309</v>
      </c>
      <c r="E125" s="21" t="s">
        <v>32</v>
      </c>
      <c r="F125" s="20">
        <v>1</v>
      </c>
      <c r="G125" s="82">
        <v>57.43</v>
      </c>
      <c r="H125" s="82">
        <f t="shared" si="18"/>
        <v>73.98</v>
      </c>
      <c r="I125" s="82">
        <f t="shared" si="19"/>
        <v>73.98</v>
      </c>
      <c r="J125" s="83">
        <f t="shared" si="9"/>
        <v>8.2519215499477842E-5</v>
      </c>
    </row>
    <row r="126" spans="1:10" x14ac:dyDescent="0.2">
      <c r="A126" s="18" t="s">
        <v>310</v>
      </c>
      <c r="B126" s="18"/>
      <c r="C126" s="18"/>
      <c r="D126" s="18" t="s">
        <v>311</v>
      </c>
      <c r="E126" s="18"/>
      <c r="F126" s="39"/>
      <c r="G126" s="18"/>
      <c r="H126" s="18"/>
      <c r="I126" s="80">
        <v>423.68</v>
      </c>
      <c r="J126" s="81">
        <f t="shared" si="9"/>
        <v>4.725836877915487E-4</v>
      </c>
    </row>
    <row r="127" spans="1:10" ht="25.5" x14ac:dyDescent="0.2">
      <c r="A127" s="19" t="s">
        <v>312</v>
      </c>
      <c r="B127" s="20" t="s">
        <v>313</v>
      </c>
      <c r="C127" s="19" t="s">
        <v>31</v>
      </c>
      <c r="D127" s="19" t="s">
        <v>314</v>
      </c>
      <c r="E127" s="21" t="s">
        <v>78</v>
      </c>
      <c r="F127" s="20">
        <v>16</v>
      </c>
      <c r="G127" s="82">
        <v>20.56</v>
      </c>
      <c r="H127" s="82">
        <f>TRUNC(G127 * (1 + 28.82 / 100), 2)</f>
        <v>26.48</v>
      </c>
      <c r="I127" s="82">
        <f>TRUNC(F127 * H127, 2)</f>
        <v>423.68</v>
      </c>
      <c r="J127" s="83">
        <f t="shared" si="9"/>
        <v>4.725836877915487E-4</v>
      </c>
    </row>
    <row r="128" spans="1:10" x14ac:dyDescent="0.2">
      <c r="A128" s="18" t="s">
        <v>315</v>
      </c>
      <c r="B128" s="18"/>
      <c r="C128" s="18"/>
      <c r="D128" s="18" t="s">
        <v>316</v>
      </c>
      <c r="E128" s="18"/>
      <c r="F128" s="39"/>
      <c r="G128" s="18"/>
      <c r="H128" s="18"/>
      <c r="I128" s="80">
        <v>55338.25</v>
      </c>
      <c r="J128" s="81">
        <f t="shared" si="9"/>
        <v>6.1725722859069743E-2</v>
      </c>
    </row>
    <row r="129" spans="1:10" x14ac:dyDescent="0.2">
      <c r="A129" s="18" t="s">
        <v>317</v>
      </c>
      <c r="B129" s="18"/>
      <c r="C129" s="18"/>
      <c r="D129" s="18" t="s">
        <v>318</v>
      </c>
      <c r="E129" s="18"/>
      <c r="F129" s="39"/>
      <c r="G129" s="18"/>
      <c r="H129" s="18"/>
      <c r="I129" s="80">
        <v>13680.91</v>
      </c>
      <c r="J129" s="81">
        <f t="shared" si="9"/>
        <v>1.526004272126198E-2</v>
      </c>
    </row>
    <row r="130" spans="1:10" ht="25.5" x14ac:dyDescent="0.2">
      <c r="A130" s="19" t="s">
        <v>319</v>
      </c>
      <c r="B130" s="20" t="s">
        <v>320</v>
      </c>
      <c r="C130" s="19" t="s">
        <v>15</v>
      </c>
      <c r="D130" s="19" t="s">
        <v>321</v>
      </c>
      <c r="E130" s="21" t="s">
        <v>78</v>
      </c>
      <c r="F130" s="20">
        <v>15</v>
      </c>
      <c r="G130" s="82">
        <v>92.32</v>
      </c>
      <c r="H130" s="82">
        <f>TRUNC(G130 * (1 + 28.82 / 100), 2)</f>
        <v>118.92</v>
      </c>
      <c r="I130" s="82">
        <f>TRUNC(F130 * H130, 2)</f>
        <v>1783.8</v>
      </c>
      <c r="J130" s="83">
        <f t="shared" si="9"/>
        <v>1.9896968992696479E-3</v>
      </c>
    </row>
    <row r="131" spans="1:10" ht="25.5" x14ac:dyDescent="0.2">
      <c r="A131" s="19" t="s">
        <v>322</v>
      </c>
      <c r="B131" s="20" t="s">
        <v>323</v>
      </c>
      <c r="C131" s="19" t="s">
        <v>15</v>
      </c>
      <c r="D131" s="19" t="s">
        <v>324</v>
      </c>
      <c r="E131" s="21" t="s">
        <v>78</v>
      </c>
      <c r="F131" s="20">
        <v>25</v>
      </c>
      <c r="G131" s="82">
        <v>52</v>
      </c>
      <c r="H131" s="82">
        <f>TRUNC(G131 * (1 + 28.82 / 100), 2)</f>
        <v>66.98</v>
      </c>
      <c r="I131" s="82">
        <f>TRUNC(F131 * H131, 2)</f>
        <v>1674.5</v>
      </c>
      <c r="J131" s="83">
        <f t="shared" si="9"/>
        <v>1.8677808374408711E-3</v>
      </c>
    </row>
    <row r="132" spans="1:10" ht="25.5" x14ac:dyDescent="0.2">
      <c r="A132" s="19" t="s">
        <v>325</v>
      </c>
      <c r="B132" s="20" t="s">
        <v>326</v>
      </c>
      <c r="C132" s="19" t="s">
        <v>327</v>
      </c>
      <c r="D132" s="19" t="s">
        <v>328</v>
      </c>
      <c r="E132" s="21" t="s">
        <v>32</v>
      </c>
      <c r="F132" s="20">
        <v>1</v>
      </c>
      <c r="G132" s="82">
        <v>7935.58</v>
      </c>
      <c r="H132" s="82">
        <f>TRUNC(G132 * (1 + 28.82 / 100), 2)</f>
        <v>10222.61</v>
      </c>
      <c r="I132" s="82">
        <f>TRUNC(F132 * H132, 2)</f>
        <v>10222.61</v>
      </c>
      <c r="J132" s="83">
        <f t="shared" si="9"/>
        <v>1.1402564984551463E-2</v>
      </c>
    </row>
    <row r="133" spans="1:10" x14ac:dyDescent="0.2">
      <c r="A133" s="18" t="s">
        <v>329</v>
      </c>
      <c r="B133" s="18"/>
      <c r="C133" s="18"/>
      <c r="D133" s="18" t="s">
        <v>330</v>
      </c>
      <c r="E133" s="18"/>
      <c r="F133" s="39"/>
      <c r="G133" s="18"/>
      <c r="H133" s="18"/>
      <c r="I133" s="80">
        <v>1712.46</v>
      </c>
      <c r="J133" s="81">
        <f t="shared" si="9"/>
        <v>1.9101224084108654E-3</v>
      </c>
    </row>
    <row r="134" spans="1:10" ht="25.5" x14ac:dyDescent="0.2">
      <c r="A134" s="19" t="s">
        <v>331</v>
      </c>
      <c r="B134" s="20" t="s">
        <v>686</v>
      </c>
      <c r="C134" s="19" t="s">
        <v>15</v>
      </c>
      <c r="D134" s="19" t="s">
        <v>687</v>
      </c>
      <c r="E134" s="21" t="s">
        <v>32</v>
      </c>
      <c r="F134" s="20">
        <v>1</v>
      </c>
      <c r="G134" s="82">
        <v>561.76</v>
      </c>
      <c r="H134" s="82">
        <f>TRUNC(G134 * (1 + 28.82 / 100), 2)</f>
        <v>723.65</v>
      </c>
      <c r="I134" s="82">
        <f>TRUNC(F134 * H134, 2)</f>
        <v>723.65</v>
      </c>
      <c r="J134" s="83">
        <f t="shared" si="9"/>
        <v>8.0717802509052631E-4</v>
      </c>
    </row>
    <row r="135" spans="1:10" ht="25.5" x14ac:dyDescent="0.2">
      <c r="A135" s="19" t="s">
        <v>332</v>
      </c>
      <c r="B135" s="20" t="s">
        <v>333</v>
      </c>
      <c r="C135" s="19" t="s">
        <v>15</v>
      </c>
      <c r="D135" s="19" t="s">
        <v>334</v>
      </c>
      <c r="E135" s="21" t="s">
        <v>32</v>
      </c>
      <c r="F135" s="20">
        <v>1</v>
      </c>
      <c r="G135" s="82">
        <v>592.91999999999996</v>
      </c>
      <c r="H135" s="82">
        <f>TRUNC(G135 * (1 + 28.82 / 100), 2)</f>
        <v>763.79</v>
      </c>
      <c r="I135" s="82">
        <f>TRUNC(F135 * H135, 2)</f>
        <v>763.79</v>
      </c>
      <c r="J135" s="83">
        <f t="shared" si="9"/>
        <v>8.5195122474109454E-4</v>
      </c>
    </row>
    <row r="136" spans="1:10" ht="25.5" x14ac:dyDescent="0.2">
      <c r="A136" s="19" t="s">
        <v>335</v>
      </c>
      <c r="B136" s="20" t="s">
        <v>336</v>
      </c>
      <c r="C136" s="19" t="s">
        <v>15</v>
      </c>
      <c r="D136" s="19" t="s">
        <v>337</v>
      </c>
      <c r="E136" s="21" t="s">
        <v>32</v>
      </c>
      <c r="F136" s="20">
        <v>2</v>
      </c>
      <c r="G136" s="82">
        <v>87.34</v>
      </c>
      <c r="H136" s="82">
        <f>TRUNC(G136 * (1 + 28.82 / 100), 2)</f>
        <v>112.51</v>
      </c>
      <c r="I136" s="82">
        <f>TRUNC(F136 * H136, 2)</f>
        <v>225.02</v>
      </c>
      <c r="J136" s="83">
        <f t="shared" si="9"/>
        <v>2.5099315857924444E-4</v>
      </c>
    </row>
    <row r="137" spans="1:10" x14ac:dyDescent="0.2">
      <c r="A137" s="18" t="s">
        <v>338</v>
      </c>
      <c r="B137" s="18"/>
      <c r="C137" s="18"/>
      <c r="D137" s="18" t="s">
        <v>339</v>
      </c>
      <c r="E137" s="18"/>
      <c r="F137" s="39"/>
      <c r="G137" s="18"/>
      <c r="H137" s="18"/>
      <c r="I137" s="80">
        <v>2543.17</v>
      </c>
      <c r="J137" s="81">
        <f t="shared" si="9"/>
        <v>2.836717941089579E-3</v>
      </c>
    </row>
    <row r="138" spans="1:10" ht="25.5" x14ac:dyDescent="0.2">
      <c r="A138" s="19" t="s">
        <v>340</v>
      </c>
      <c r="B138" s="20" t="s">
        <v>341</v>
      </c>
      <c r="C138" s="19" t="s">
        <v>15</v>
      </c>
      <c r="D138" s="19" t="s">
        <v>342</v>
      </c>
      <c r="E138" s="21" t="s">
        <v>78</v>
      </c>
      <c r="F138" s="20">
        <v>25</v>
      </c>
      <c r="G138" s="82">
        <v>16.21</v>
      </c>
      <c r="H138" s="82">
        <f>TRUNC(G138 * (1 + 28.82 / 100), 2)</f>
        <v>20.88</v>
      </c>
      <c r="I138" s="82">
        <f>TRUNC(F138 * H138, 2)</f>
        <v>522</v>
      </c>
      <c r="J138" s="83">
        <f t="shared" si="9"/>
        <v>5.8225237213743492E-4</v>
      </c>
    </row>
    <row r="139" spans="1:10" ht="25.5" x14ac:dyDescent="0.2">
      <c r="A139" s="19" t="s">
        <v>343</v>
      </c>
      <c r="B139" s="20" t="s">
        <v>344</v>
      </c>
      <c r="C139" s="19" t="s">
        <v>15</v>
      </c>
      <c r="D139" s="19" t="s">
        <v>345</v>
      </c>
      <c r="E139" s="21" t="s">
        <v>78</v>
      </c>
      <c r="F139" s="20">
        <v>85</v>
      </c>
      <c r="G139" s="82">
        <v>16.04</v>
      </c>
      <c r="H139" s="82">
        <f>TRUNC(G139 * (1 + 28.82 / 100), 2)</f>
        <v>20.66</v>
      </c>
      <c r="I139" s="82">
        <f>TRUNC(F139 * H139, 2)</f>
        <v>1756.1</v>
      </c>
      <c r="J139" s="83">
        <f t="shared" ref="J139:J202" si="20">I139 / 896518.46</f>
        <v>1.9587995990623551E-3</v>
      </c>
    </row>
    <row r="140" spans="1:10" ht="25.5" x14ac:dyDescent="0.2">
      <c r="A140" s="19" t="s">
        <v>346</v>
      </c>
      <c r="B140" s="20" t="s">
        <v>347</v>
      </c>
      <c r="C140" s="19" t="s">
        <v>15</v>
      </c>
      <c r="D140" s="19" t="s">
        <v>348</v>
      </c>
      <c r="E140" s="21" t="s">
        <v>78</v>
      </c>
      <c r="F140" s="20">
        <v>13</v>
      </c>
      <c r="G140" s="82">
        <v>15.83</v>
      </c>
      <c r="H140" s="82">
        <f>TRUNC(G140 * (1 + 28.82 / 100), 2)</f>
        <v>20.39</v>
      </c>
      <c r="I140" s="82">
        <f>TRUNC(F140 * H140, 2)</f>
        <v>265.07</v>
      </c>
      <c r="J140" s="83">
        <f t="shared" si="20"/>
        <v>2.95665969889789E-4</v>
      </c>
    </row>
    <row r="141" spans="1:10" x14ac:dyDescent="0.2">
      <c r="A141" s="18" t="s">
        <v>349</v>
      </c>
      <c r="B141" s="18"/>
      <c r="C141" s="18"/>
      <c r="D141" s="18" t="s">
        <v>350</v>
      </c>
      <c r="E141" s="18"/>
      <c r="F141" s="39"/>
      <c r="G141" s="18"/>
      <c r="H141" s="18"/>
      <c r="I141" s="80">
        <v>85.14</v>
      </c>
      <c r="J141" s="81">
        <f t="shared" si="20"/>
        <v>9.4967369662416102E-5</v>
      </c>
    </row>
    <row r="142" spans="1:10" ht="25.5" x14ac:dyDescent="0.2">
      <c r="A142" s="19" t="s">
        <v>351</v>
      </c>
      <c r="B142" s="20" t="s">
        <v>352</v>
      </c>
      <c r="C142" s="19" t="s">
        <v>15</v>
      </c>
      <c r="D142" s="19" t="s">
        <v>353</v>
      </c>
      <c r="E142" s="21" t="s">
        <v>32</v>
      </c>
      <c r="F142" s="20">
        <v>1</v>
      </c>
      <c r="G142" s="82">
        <v>14.82</v>
      </c>
      <c r="H142" s="82">
        <f>TRUNC(G142 * (1 + 28.82 / 100), 2)</f>
        <v>19.09</v>
      </c>
      <c r="I142" s="82">
        <f>TRUNC(F142 * H142, 2)</f>
        <v>19.09</v>
      </c>
      <c r="J142" s="83">
        <f t="shared" si="20"/>
        <v>2.1293482345026114E-5</v>
      </c>
    </row>
    <row r="143" spans="1:10" ht="25.5" x14ac:dyDescent="0.2">
      <c r="A143" s="19" t="s">
        <v>354</v>
      </c>
      <c r="B143" s="20" t="s">
        <v>355</v>
      </c>
      <c r="C143" s="19" t="s">
        <v>15</v>
      </c>
      <c r="D143" s="19" t="s">
        <v>356</v>
      </c>
      <c r="E143" s="21" t="s">
        <v>32</v>
      </c>
      <c r="F143" s="20">
        <v>1</v>
      </c>
      <c r="G143" s="82">
        <v>17.96</v>
      </c>
      <c r="H143" s="82">
        <f>TRUNC(G143 * (1 + 28.82 / 100), 2)</f>
        <v>23.13</v>
      </c>
      <c r="I143" s="82">
        <f>TRUNC(F143 * H143, 2)</f>
        <v>23.13</v>
      </c>
      <c r="J143" s="83">
        <f t="shared" si="20"/>
        <v>2.5799803386089786E-5</v>
      </c>
    </row>
    <row r="144" spans="1:10" ht="25.5" x14ac:dyDescent="0.2">
      <c r="A144" s="19" t="s">
        <v>357</v>
      </c>
      <c r="B144" s="20" t="s">
        <v>358</v>
      </c>
      <c r="C144" s="19" t="s">
        <v>15</v>
      </c>
      <c r="D144" s="19" t="s">
        <v>359</v>
      </c>
      <c r="E144" s="21" t="s">
        <v>32</v>
      </c>
      <c r="F144" s="20">
        <v>2</v>
      </c>
      <c r="G144" s="82">
        <v>16.66</v>
      </c>
      <c r="H144" s="82">
        <f>TRUNC(G144 * (1 + 28.82 / 100), 2)</f>
        <v>21.46</v>
      </c>
      <c r="I144" s="82">
        <f>TRUNC(F144 * H144, 2)</f>
        <v>42.92</v>
      </c>
      <c r="J144" s="83">
        <f t="shared" si="20"/>
        <v>4.7874083931300199E-5</v>
      </c>
    </row>
    <row r="145" spans="1:10" x14ac:dyDescent="0.2">
      <c r="A145" s="18" t="s">
        <v>360</v>
      </c>
      <c r="B145" s="18"/>
      <c r="C145" s="18"/>
      <c r="D145" s="18" t="s">
        <v>361</v>
      </c>
      <c r="E145" s="18"/>
      <c r="F145" s="39"/>
      <c r="G145" s="18"/>
      <c r="H145" s="18"/>
      <c r="I145" s="80">
        <v>11666.5</v>
      </c>
      <c r="J145" s="81">
        <f t="shared" si="20"/>
        <v>1.3013117432071617E-2</v>
      </c>
    </row>
    <row r="146" spans="1:10" ht="25.5" x14ac:dyDescent="0.2">
      <c r="A146" s="19" t="s">
        <v>362</v>
      </c>
      <c r="B146" s="20" t="s">
        <v>363</v>
      </c>
      <c r="C146" s="19" t="s">
        <v>15</v>
      </c>
      <c r="D146" s="19" t="s">
        <v>364</v>
      </c>
      <c r="E146" s="21" t="s">
        <v>78</v>
      </c>
      <c r="F146" s="20">
        <v>250</v>
      </c>
      <c r="G146" s="82">
        <v>10.94</v>
      </c>
      <c r="H146" s="82">
        <f>TRUNC(G146 * (1 + 28.82 / 100), 2)</f>
        <v>14.09</v>
      </c>
      <c r="I146" s="82">
        <f>TRUNC(F146 * H146, 2)</f>
        <v>3522.5</v>
      </c>
      <c r="J146" s="83">
        <f t="shared" si="20"/>
        <v>3.9290880859274221E-3</v>
      </c>
    </row>
    <row r="147" spans="1:10" ht="25.5" x14ac:dyDescent="0.2">
      <c r="A147" s="19" t="s">
        <v>365</v>
      </c>
      <c r="B147" s="20" t="s">
        <v>366</v>
      </c>
      <c r="C147" s="19" t="s">
        <v>15</v>
      </c>
      <c r="D147" s="19" t="s">
        <v>367</v>
      </c>
      <c r="E147" s="21" t="s">
        <v>78</v>
      </c>
      <c r="F147" s="20">
        <v>200</v>
      </c>
      <c r="G147" s="82">
        <v>4.4000000000000004</v>
      </c>
      <c r="H147" s="82">
        <f>TRUNC(G147 * (1 + 28.82 / 100), 2)</f>
        <v>5.66</v>
      </c>
      <c r="I147" s="82">
        <f>TRUNC(F147 * H147, 2)</f>
        <v>1132</v>
      </c>
      <c r="J147" s="83">
        <f t="shared" si="20"/>
        <v>1.2626622322980388E-3</v>
      </c>
    </row>
    <row r="148" spans="1:10" ht="25.5" x14ac:dyDescent="0.2">
      <c r="A148" s="19" t="s">
        <v>368</v>
      </c>
      <c r="B148" s="20" t="s">
        <v>369</v>
      </c>
      <c r="C148" s="19" t="s">
        <v>15</v>
      </c>
      <c r="D148" s="19" t="s">
        <v>370</v>
      </c>
      <c r="E148" s="21" t="s">
        <v>78</v>
      </c>
      <c r="F148" s="20">
        <v>450</v>
      </c>
      <c r="G148" s="82">
        <v>9.39</v>
      </c>
      <c r="H148" s="82">
        <f>TRUNC(G148 * (1 + 28.82 / 100), 2)</f>
        <v>12.09</v>
      </c>
      <c r="I148" s="82">
        <f>TRUNC(F148 * H148, 2)</f>
        <v>5440.5</v>
      </c>
      <c r="J148" s="83">
        <f t="shared" si="20"/>
        <v>6.0684751544324029E-3</v>
      </c>
    </row>
    <row r="149" spans="1:10" ht="25.5" x14ac:dyDescent="0.2">
      <c r="A149" s="19" t="s">
        <v>371</v>
      </c>
      <c r="B149" s="20" t="s">
        <v>372</v>
      </c>
      <c r="C149" s="19" t="s">
        <v>15</v>
      </c>
      <c r="D149" s="19" t="s">
        <v>373</v>
      </c>
      <c r="E149" s="21" t="s">
        <v>78</v>
      </c>
      <c r="F149" s="20">
        <v>150</v>
      </c>
      <c r="G149" s="82">
        <v>3.52</v>
      </c>
      <c r="H149" s="82">
        <f>TRUNC(G149 * (1 + 28.82 / 100), 2)</f>
        <v>4.53</v>
      </c>
      <c r="I149" s="82">
        <f>TRUNC(F149 * H149, 2)</f>
        <v>679.5</v>
      </c>
      <c r="J149" s="83">
        <f t="shared" si="20"/>
        <v>7.5793196717890228E-4</v>
      </c>
    </row>
    <row r="150" spans="1:10" ht="25.5" x14ac:dyDescent="0.2">
      <c r="A150" s="19" t="s">
        <v>374</v>
      </c>
      <c r="B150" s="20" t="s">
        <v>375</v>
      </c>
      <c r="C150" s="19" t="s">
        <v>15</v>
      </c>
      <c r="D150" s="19" t="s">
        <v>376</v>
      </c>
      <c r="E150" s="21" t="s">
        <v>78</v>
      </c>
      <c r="F150" s="20">
        <v>100</v>
      </c>
      <c r="G150" s="82">
        <v>6.93</v>
      </c>
      <c r="H150" s="82">
        <f>TRUNC(G150 * (1 + 28.82 / 100), 2)</f>
        <v>8.92</v>
      </c>
      <c r="I150" s="82">
        <f>TRUNC(F150 * H150, 2)</f>
        <v>892</v>
      </c>
      <c r="J150" s="83">
        <f t="shared" si="20"/>
        <v>9.9495999223485039E-4</v>
      </c>
    </row>
    <row r="151" spans="1:10" x14ac:dyDescent="0.2">
      <c r="A151" s="18" t="s">
        <v>377</v>
      </c>
      <c r="B151" s="18"/>
      <c r="C151" s="18"/>
      <c r="D151" s="18" t="s">
        <v>378</v>
      </c>
      <c r="E151" s="18"/>
      <c r="F151" s="39"/>
      <c r="G151" s="18"/>
      <c r="H151" s="18"/>
      <c r="I151" s="80">
        <v>506.11</v>
      </c>
      <c r="J151" s="81">
        <f t="shared" si="20"/>
        <v>5.6452825299325125E-4</v>
      </c>
    </row>
    <row r="152" spans="1:10" ht="25.5" x14ac:dyDescent="0.2">
      <c r="A152" s="19" t="s">
        <v>379</v>
      </c>
      <c r="B152" s="20" t="s">
        <v>380</v>
      </c>
      <c r="C152" s="19" t="s">
        <v>15</v>
      </c>
      <c r="D152" s="19" t="s">
        <v>381</v>
      </c>
      <c r="E152" s="21" t="s">
        <v>281</v>
      </c>
      <c r="F152" s="20">
        <v>5</v>
      </c>
      <c r="G152" s="82">
        <v>25.66</v>
      </c>
      <c r="H152" s="82">
        <f t="shared" ref="H152:H157" si="21">TRUNC(G152 * (1 + 28.82 / 100), 2)</f>
        <v>33.049999999999997</v>
      </c>
      <c r="I152" s="82">
        <f t="shared" ref="I152:I157" si="22">TRUNC(F152 * H152, 2)</f>
        <v>165.25</v>
      </c>
      <c r="J152" s="83">
        <f t="shared" si="20"/>
        <v>1.8432414654350788E-4</v>
      </c>
    </row>
    <row r="153" spans="1:10" ht="25.5" x14ac:dyDescent="0.2">
      <c r="A153" s="19" t="s">
        <v>382</v>
      </c>
      <c r="B153" s="20" t="s">
        <v>383</v>
      </c>
      <c r="C153" s="19" t="s">
        <v>15</v>
      </c>
      <c r="D153" s="19" t="s">
        <v>384</v>
      </c>
      <c r="E153" s="21" t="s">
        <v>281</v>
      </c>
      <c r="F153" s="20">
        <v>2</v>
      </c>
      <c r="G153" s="82">
        <v>27.66</v>
      </c>
      <c r="H153" s="82">
        <f t="shared" si="21"/>
        <v>35.630000000000003</v>
      </c>
      <c r="I153" s="82">
        <f t="shared" si="22"/>
        <v>71.260000000000005</v>
      </c>
      <c r="J153" s="83">
        <f t="shared" si="20"/>
        <v>7.9485256778761708E-5</v>
      </c>
    </row>
    <row r="154" spans="1:10" ht="25.5" x14ac:dyDescent="0.2">
      <c r="A154" s="19" t="s">
        <v>385</v>
      </c>
      <c r="B154" s="20" t="s">
        <v>386</v>
      </c>
      <c r="C154" s="19" t="s">
        <v>15</v>
      </c>
      <c r="D154" s="19" t="s">
        <v>387</v>
      </c>
      <c r="E154" s="21" t="s">
        <v>32</v>
      </c>
      <c r="F154" s="20">
        <v>1</v>
      </c>
      <c r="G154" s="82">
        <v>22.01</v>
      </c>
      <c r="H154" s="82">
        <f t="shared" si="21"/>
        <v>28.35</v>
      </c>
      <c r="I154" s="82">
        <f t="shared" si="22"/>
        <v>28.35</v>
      </c>
      <c r="J154" s="83">
        <f t="shared" si="20"/>
        <v>3.1622327107464138E-5</v>
      </c>
    </row>
    <row r="155" spans="1:10" ht="25.5" x14ac:dyDescent="0.2">
      <c r="A155" s="19" t="s">
        <v>388</v>
      </c>
      <c r="B155" s="20" t="s">
        <v>389</v>
      </c>
      <c r="C155" s="19" t="s">
        <v>15</v>
      </c>
      <c r="D155" s="19" t="s">
        <v>390</v>
      </c>
      <c r="E155" s="21" t="s">
        <v>32</v>
      </c>
      <c r="F155" s="20">
        <v>1</v>
      </c>
      <c r="G155" s="82">
        <v>79.08</v>
      </c>
      <c r="H155" s="82">
        <f t="shared" si="21"/>
        <v>101.87</v>
      </c>
      <c r="I155" s="82">
        <f t="shared" si="22"/>
        <v>101.87</v>
      </c>
      <c r="J155" s="83">
        <f t="shared" si="20"/>
        <v>1.1362844664682086E-4</v>
      </c>
    </row>
    <row r="156" spans="1:10" ht="25.5" x14ac:dyDescent="0.2">
      <c r="A156" s="19" t="s">
        <v>391</v>
      </c>
      <c r="B156" s="20" t="s">
        <v>688</v>
      </c>
      <c r="C156" s="19" t="s">
        <v>15</v>
      </c>
      <c r="D156" s="19" t="s">
        <v>689</v>
      </c>
      <c r="E156" s="21" t="s">
        <v>281</v>
      </c>
      <c r="F156" s="20">
        <v>2</v>
      </c>
      <c r="G156" s="82">
        <v>39.520000000000003</v>
      </c>
      <c r="H156" s="82">
        <f t="shared" si="21"/>
        <v>50.9</v>
      </c>
      <c r="I156" s="82">
        <f t="shared" si="22"/>
        <v>101.8</v>
      </c>
      <c r="J156" s="83">
        <f t="shared" si="20"/>
        <v>1.1355036682680244E-4</v>
      </c>
    </row>
    <row r="157" spans="1:10" ht="25.5" x14ac:dyDescent="0.2">
      <c r="A157" s="19" t="s">
        <v>392</v>
      </c>
      <c r="B157" s="20" t="s">
        <v>393</v>
      </c>
      <c r="C157" s="19" t="s">
        <v>15</v>
      </c>
      <c r="D157" s="19" t="s">
        <v>394</v>
      </c>
      <c r="E157" s="21" t="s">
        <v>281</v>
      </c>
      <c r="F157" s="20">
        <v>1</v>
      </c>
      <c r="G157" s="82">
        <v>29.18</v>
      </c>
      <c r="H157" s="82">
        <f t="shared" si="21"/>
        <v>37.58</v>
      </c>
      <c r="I157" s="82">
        <f t="shared" si="22"/>
        <v>37.58</v>
      </c>
      <c r="J157" s="83">
        <f t="shared" si="20"/>
        <v>4.1917709089894256E-5</v>
      </c>
    </row>
    <row r="158" spans="1:10" x14ac:dyDescent="0.2">
      <c r="A158" s="18" t="s">
        <v>395</v>
      </c>
      <c r="B158" s="18"/>
      <c r="C158" s="18"/>
      <c r="D158" s="18" t="s">
        <v>396</v>
      </c>
      <c r="E158" s="18"/>
      <c r="F158" s="39"/>
      <c r="G158" s="18"/>
      <c r="H158" s="18"/>
      <c r="I158" s="80">
        <v>8017.36</v>
      </c>
      <c r="J158" s="81">
        <f t="shared" si="20"/>
        <v>8.9427717974708519E-3</v>
      </c>
    </row>
    <row r="159" spans="1:10" x14ac:dyDescent="0.2">
      <c r="A159" s="19" t="s">
        <v>397</v>
      </c>
      <c r="B159" s="20" t="s">
        <v>400</v>
      </c>
      <c r="C159" s="19" t="s">
        <v>240</v>
      </c>
      <c r="D159" s="19" t="s">
        <v>401</v>
      </c>
      <c r="E159" s="21" t="s">
        <v>32</v>
      </c>
      <c r="F159" s="20">
        <v>3</v>
      </c>
      <c r="G159" s="82">
        <v>68.55</v>
      </c>
      <c r="H159" s="82">
        <f>TRUNC(G159 * (1 + 28.82 / 100), 2)</f>
        <v>88.3</v>
      </c>
      <c r="I159" s="82">
        <f>TRUNC(F159 * H159, 2)</f>
        <v>264.89999999999998</v>
      </c>
      <c r="J159" s="83">
        <f t="shared" si="20"/>
        <v>2.9547634746974425E-4</v>
      </c>
    </row>
    <row r="160" spans="1:10" x14ac:dyDescent="0.2">
      <c r="A160" s="19" t="s">
        <v>398</v>
      </c>
      <c r="B160" s="20" t="s">
        <v>690</v>
      </c>
      <c r="C160" s="19" t="s">
        <v>240</v>
      </c>
      <c r="D160" s="19" t="s">
        <v>691</v>
      </c>
      <c r="E160" s="21" t="s">
        <v>32</v>
      </c>
      <c r="F160" s="20">
        <v>23</v>
      </c>
      <c r="G160" s="82">
        <v>147.36000000000001</v>
      </c>
      <c r="H160" s="82">
        <f>TRUNC(G160 * (1 + 28.82 / 100), 2)</f>
        <v>189.82</v>
      </c>
      <c r="I160" s="82">
        <f>TRUNC(F160 * H160, 2)</f>
        <v>4365.8599999999997</v>
      </c>
      <c r="J160" s="83">
        <f t="shared" si="20"/>
        <v>4.8697937575094656E-3</v>
      </c>
    </row>
    <row r="161" spans="1:10" x14ac:dyDescent="0.2">
      <c r="A161" s="19" t="s">
        <v>399</v>
      </c>
      <c r="B161" s="20" t="s">
        <v>692</v>
      </c>
      <c r="C161" s="19" t="s">
        <v>240</v>
      </c>
      <c r="D161" s="19" t="s">
        <v>693</v>
      </c>
      <c r="E161" s="21" t="s">
        <v>32</v>
      </c>
      <c r="F161" s="20">
        <v>7</v>
      </c>
      <c r="G161" s="82">
        <v>375.57</v>
      </c>
      <c r="H161" s="82">
        <f>TRUNC(G161 * (1 + 28.82 / 100), 2)</f>
        <v>483.8</v>
      </c>
      <c r="I161" s="82">
        <f>TRUNC(F161 * H161, 2)</f>
        <v>3386.6</v>
      </c>
      <c r="J161" s="83">
        <f t="shared" si="20"/>
        <v>3.7775016924916417E-3</v>
      </c>
    </row>
    <row r="162" spans="1:10" x14ac:dyDescent="0.2">
      <c r="A162" s="18" t="s">
        <v>402</v>
      </c>
      <c r="B162" s="18"/>
      <c r="C162" s="18"/>
      <c r="D162" s="18" t="s">
        <v>403</v>
      </c>
      <c r="E162" s="18"/>
      <c r="F162" s="39"/>
      <c r="G162" s="18"/>
      <c r="H162" s="18"/>
      <c r="I162" s="80">
        <v>8794.93</v>
      </c>
      <c r="J162" s="81">
        <f t="shared" si="20"/>
        <v>9.8100935924955758E-3</v>
      </c>
    </row>
    <row r="163" spans="1:10" ht="25.5" x14ac:dyDescent="0.2">
      <c r="A163" s="19" t="s">
        <v>404</v>
      </c>
      <c r="B163" s="20" t="s">
        <v>405</v>
      </c>
      <c r="C163" s="19" t="s">
        <v>15</v>
      </c>
      <c r="D163" s="19" t="s">
        <v>406</v>
      </c>
      <c r="E163" s="21" t="s">
        <v>32</v>
      </c>
      <c r="F163" s="20">
        <v>5</v>
      </c>
      <c r="G163" s="82">
        <v>140.63</v>
      </c>
      <c r="H163" s="82">
        <f t="shared" ref="H163:H168" si="23">TRUNC(G163 * (1 + 28.82 / 100), 2)</f>
        <v>181.15</v>
      </c>
      <c r="I163" s="82">
        <f t="shared" ref="I163:I168" si="24">TRUNC(F163 * H163, 2)</f>
        <v>905.75</v>
      </c>
      <c r="J163" s="83">
        <f t="shared" si="20"/>
        <v>1.0102970997384706E-3</v>
      </c>
    </row>
    <row r="164" spans="1:10" ht="25.5" x14ac:dyDescent="0.2">
      <c r="A164" s="19" t="s">
        <v>407</v>
      </c>
      <c r="B164" s="20" t="s">
        <v>408</v>
      </c>
      <c r="C164" s="19" t="s">
        <v>15</v>
      </c>
      <c r="D164" s="19" t="s">
        <v>409</v>
      </c>
      <c r="E164" s="21" t="s">
        <v>32</v>
      </c>
      <c r="F164" s="20">
        <v>2</v>
      </c>
      <c r="G164" s="82">
        <v>467.84</v>
      </c>
      <c r="H164" s="82">
        <f t="shared" si="23"/>
        <v>602.66999999999996</v>
      </c>
      <c r="I164" s="82">
        <f t="shared" si="24"/>
        <v>1205.3399999999999</v>
      </c>
      <c r="J164" s="83">
        <f t="shared" si="20"/>
        <v>1.3444675751573482E-3</v>
      </c>
    </row>
    <row r="165" spans="1:10" ht="25.5" x14ac:dyDescent="0.2">
      <c r="A165" s="19" t="s">
        <v>410</v>
      </c>
      <c r="B165" s="20" t="s">
        <v>411</v>
      </c>
      <c r="C165" s="19" t="s">
        <v>275</v>
      </c>
      <c r="D165" s="19" t="s">
        <v>412</v>
      </c>
      <c r="E165" s="21" t="s">
        <v>32</v>
      </c>
      <c r="F165" s="20">
        <v>1</v>
      </c>
      <c r="G165" s="82">
        <v>2415.2800000000002</v>
      </c>
      <c r="H165" s="82">
        <f t="shared" si="23"/>
        <v>3111.36</v>
      </c>
      <c r="I165" s="82">
        <f t="shared" si="24"/>
        <v>3111.36</v>
      </c>
      <c r="J165" s="83">
        <f t="shared" si="20"/>
        <v>3.4704918401791754E-3</v>
      </c>
    </row>
    <row r="166" spans="1:10" ht="25.5" x14ac:dyDescent="0.2">
      <c r="A166" s="19" t="s">
        <v>413</v>
      </c>
      <c r="B166" s="20" t="s">
        <v>414</v>
      </c>
      <c r="C166" s="19" t="s">
        <v>275</v>
      </c>
      <c r="D166" s="19" t="s">
        <v>415</v>
      </c>
      <c r="E166" s="21" t="s">
        <v>32</v>
      </c>
      <c r="F166" s="20">
        <v>2</v>
      </c>
      <c r="G166" s="82">
        <v>295.10000000000002</v>
      </c>
      <c r="H166" s="82">
        <f t="shared" si="23"/>
        <v>380.14</v>
      </c>
      <c r="I166" s="82">
        <f t="shared" si="24"/>
        <v>760.28</v>
      </c>
      <c r="J166" s="83">
        <f t="shared" si="20"/>
        <v>8.4803607948017042E-4</v>
      </c>
    </row>
    <row r="167" spans="1:10" x14ac:dyDescent="0.2">
      <c r="A167" s="19" t="s">
        <v>416</v>
      </c>
      <c r="B167" s="20" t="s">
        <v>417</v>
      </c>
      <c r="C167" s="19" t="s">
        <v>275</v>
      </c>
      <c r="D167" s="19" t="s">
        <v>418</v>
      </c>
      <c r="E167" s="21" t="s">
        <v>32</v>
      </c>
      <c r="F167" s="20">
        <v>25</v>
      </c>
      <c r="G167" s="82">
        <v>43.51</v>
      </c>
      <c r="H167" s="82">
        <f t="shared" si="23"/>
        <v>56.04</v>
      </c>
      <c r="I167" s="82">
        <f t="shared" si="24"/>
        <v>1401</v>
      </c>
      <c r="J167" s="83">
        <f t="shared" si="20"/>
        <v>1.5627118263688625E-3</v>
      </c>
    </row>
    <row r="168" spans="1:10" x14ac:dyDescent="0.2">
      <c r="A168" s="19" t="s">
        <v>419</v>
      </c>
      <c r="B168" s="20" t="s">
        <v>420</v>
      </c>
      <c r="C168" s="19" t="s">
        <v>275</v>
      </c>
      <c r="D168" s="19" t="s">
        <v>421</v>
      </c>
      <c r="E168" s="21" t="s">
        <v>32</v>
      </c>
      <c r="F168" s="20">
        <v>30</v>
      </c>
      <c r="G168" s="82">
        <v>36.520000000000003</v>
      </c>
      <c r="H168" s="82">
        <f t="shared" si="23"/>
        <v>47.04</v>
      </c>
      <c r="I168" s="82">
        <f t="shared" si="24"/>
        <v>1411.2</v>
      </c>
      <c r="J168" s="83">
        <f t="shared" si="20"/>
        <v>1.5740891715715481E-3</v>
      </c>
    </row>
    <row r="169" spans="1:10" x14ac:dyDescent="0.2">
      <c r="A169" s="18" t="s">
        <v>422</v>
      </c>
      <c r="B169" s="18"/>
      <c r="C169" s="18"/>
      <c r="D169" s="18" t="s">
        <v>423</v>
      </c>
      <c r="E169" s="18"/>
      <c r="F169" s="39"/>
      <c r="G169" s="18"/>
      <c r="H169" s="18"/>
      <c r="I169" s="80">
        <v>8331.67</v>
      </c>
      <c r="J169" s="81">
        <f t="shared" si="20"/>
        <v>9.2933613436136063E-3</v>
      </c>
    </row>
    <row r="170" spans="1:10" ht="25.5" x14ac:dyDescent="0.2">
      <c r="A170" s="19" t="s">
        <v>424</v>
      </c>
      <c r="B170" s="20" t="s">
        <v>425</v>
      </c>
      <c r="C170" s="19" t="s">
        <v>15</v>
      </c>
      <c r="D170" s="19" t="s">
        <v>426</v>
      </c>
      <c r="E170" s="21" t="s">
        <v>78</v>
      </c>
      <c r="F170" s="20">
        <v>45</v>
      </c>
      <c r="G170" s="82">
        <v>31.18</v>
      </c>
      <c r="H170" s="82">
        <f t="shared" ref="H170:H177" si="25">TRUNC(G170 * (1 + 28.82 / 100), 2)</f>
        <v>40.159999999999997</v>
      </c>
      <c r="I170" s="82">
        <f t="shared" ref="I170:I177" si="26">TRUNC(F170 * H170, 2)</f>
        <v>1807.2</v>
      </c>
      <c r="J170" s="83">
        <f t="shared" si="20"/>
        <v>2.015797867675809E-3</v>
      </c>
    </row>
    <row r="171" spans="1:10" ht="25.5" x14ac:dyDescent="0.2">
      <c r="A171" s="19" t="s">
        <v>427</v>
      </c>
      <c r="B171" s="20" t="s">
        <v>428</v>
      </c>
      <c r="C171" s="19" t="s">
        <v>15</v>
      </c>
      <c r="D171" s="19" t="s">
        <v>429</v>
      </c>
      <c r="E171" s="21" t="s">
        <v>32</v>
      </c>
      <c r="F171" s="20">
        <v>6</v>
      </c>
      <c r="G171" s="82">
        <v>40.33</v>
      </c>
      <c r="H171" s="82">
        <f t="shared" si="25"/>
        <v>51.95</v>
      </c>
      <c r="I171" s="82">
        <f t="shared" si="26"/>
        <v>311.7</v>
      </c>
      <c r="J171" s="83">
        <f t="shared" si="20"/>
        <v>3.4767828428206596E-4</v>
      </c>
    </row>
    <row r="172" spans="1:10" ht="25.5" x14ac:dyDescent="0.2">
      <c r="A172" s="19" t="s">
        <v>430</v>
      </c>
      <c r="B172" s="20" t="s">
        <v>431</v>
      </c>
      <c r="C172" s="19" t="s">
        <v>15</v>
      </c>
      <c r="D172" s="19" t="s">
        <v>432</v>
      </c>
      <c r="E172" s="21" t="s">
        <v>32</v>
      </c>
      <c r="F172" s="20">
        <v>16</v>
      </c>
      <c r="G172" s="82">
        <v>20.9</v>
      </c>
      <c r="H172" s="82">
        <f t="shared" si="25"/>
        <v>26.92</v>
      </c>
      <c r="I172" s="82">
        <f t="shared" si="26"/>
        <v>430.72</v>
      </c>
      <c r="J172" s="83">
        <f t="shared" si="20"/>
        <v>4.8043628683340224E-4</v>
      </c>
    </row>
    <row r="173" spans="1:10" ht="25.5" x14ac:dyDescent="0.2">
      <c r="A173" s="19" t="s">
        <v>433</v>
      </c>
      <c r="B173" s="20" t="s">
        <v>434</v>
      </c>
      <c r="C173" s="19" t="s">
        <v>15</v>
      </c>
      <c r="D173" s="19" t="s">
        <v>435</v>
      </c>
      <c r="E173" s="21" t="s">
        <v>32</v>
      </c>
      <c r="F173" s="20">
        <v>25</v>
      </c>
      <c r="G173" s="82">
        <v>17.309999999999999</v>
      </c>
      <c r="H173" s="82">
        <f t="shared" si="25"/>
        <v>22.29</v>
      </c>
      <c r="I173" s="82">
        <f t="shared" si="26"/>
        <v>557.25</v>
      </c>
      <c r="J173" s="83">
        <f t="shared" si="20"/>
        <v>6.2157113864671565E-4</v>
      </c>
    </row>
    <row r="174" spans="1:10" ht="25.5" x14ac:dyDescent="0.2">
      <c r="A174" s="19" t="s">
        <v>436</v>
      </c>
      <c r="B174" s="20" t="s">
        <v>437</v>
      </c>
      <c r="C174" s="19" t="s">
        <v>15</v>
      </c>
      <c r="D174" s="19" t="s">
        <v>438</v>
      </c>
      <c r="E174" s="21" t="s">
        <v>78</v>
      </c>
      <c r="F174" s="20">
        <v>45</v>
      </c>
      <c r="G174" s="82">
        <v>18.649999999999999</v>
      </c>
      <c r="H174" s="82">
        <f t="shared" si="25"/>
        <v>24.02</v>
      </c>
      <c r="I174" s="82">
        <f t="shared" si="26"/>
        <v>1080.9000000000001</v>
      </c>
      <c r="J174" s="83">
        <f t="shared" si="20"/>
        <v>1.2056639636845851E-3</v>
      </c>
    </row>
    <row r="175" spans="1:10" ht="25.5" x14ac:dyDescent="0.2">
      <c r="A175" s="19" t="s">
        <v>439</v>
      </c>
      <c r="B175" s="20" t="s">
        <v>440</v>
      </c>
      <c r="C175" s="19" t="s">
        <v>15</v>
      </c>
      <c r="D175" s="19" t="s">
        <v>441</v>
      </c>
      <c r="E175" s="21" t="s">
        <v>78</v>
      </c>
      <c r="F175" s="20">
        <v>30</v>
      </c>
      <c r="G175" s="82">
        <v>58.62</v>
      </c>
      <c r="H175" s="82">
        <f t="shared" si="25"/>
        <v>75.510000000000005</v>
      </c>
      <c r="I175" s="82">
        <f t="shared" si="26"/>
        <v>2265.3000000000002</v>
      </c>
      <c r="J175" s="83">
        <f t="shared" si="20"/>
        <v>2.5267745183964203E-3</v>
      </c>
    </row>
    <row r="176" spans="1:10" ht="25.5" x14ac:dyDescent="0.2">
      <c r="A176" s="19" t="s">
        <v>442</v>
      </c>
      <c r="B176" s="20" t="s">
        <v>443</v>
      </c>
      <c r="C176" s="19" t="s">
        <v>15</v>
      </c>
      <c r="D176" s="19" t="s">
        <v>444</v>
      </c>
      <c r="E176" s="21" t="s">
        <v>32</v>
      </c>
      <c r="F176" s="20">
        <v>6</v>
      </c>
      <c r="G176" s="82">
        <v>200.82</v>
      </c>
      <c r="H176" s="82">
        <f t="shared" si="25"/>
        <v>258.69</v>
      </c>
      <c r="I176" s="82">
        <f t="shared" si="26"/>
        <v>1552.14</v>
      </c>
      <c r="J176" s="83">
        <f t="shared" si="20"/>
        <v>1.7312973120486557E-3</v>
      </c>
    </row>
    <row r="177" spans="1:10" ht="25.5" x14ac:dyDescent="0.2">
      <c r="A177" s="19" t="s">
        <v>445</v>
      </c>
      <c r="B177" s="20" t="s">
        <v>224</v>
      </c>
      <c r="C177" s="19" t="s">
        <v>15</v>
      </c>
      <c r="D177" s="19" t="s">
        <v>225</v>
      </c>
      <c r="E177" s="21" t="s">
        <v>32</v>
      </c>
      <c r="F177" s="20">
        <v>6</v>
      </c>
      <c r="G177" s="82">
        <v>42.24</v>
      </c>
      <c r="H177" s="82">
        <f t="shared" si="25"/>
        <v>54.41</v>
      </c>
      <c r="I177" s="82">
        <f t="shared" si="26"/>
        <v>326.45999999999998</v>
      </c>
      <c r="J177" s="83">
        <f t="shared" si="20"/>
        <v>3.6414197204595204E-4</v>
      </c>
    </row>
    <row r="178" spans="1:10" x14ac:dyDescent="0.2">
      <c r="A178" s="18" t="s">
        <v>446</v>
      </c>
      <c r="B178" s="18"/>
      <c r="C178" s="18"/>
      <c r="D178" s="18" t="s">
        <v>447</v>
      </c>
      <c r="E178" s="18"/>
      <c r="F178" s="39"/>
      <c r="G178" s="18"/>
      <c r="H178" s="18"/>
      <c r="I178" s="80">
        <v>230.85</v>
      </c>
      <c r="J178" s="81">
        <f t="shared" si="20"/>
        <v>2.574960921607794E-4</v>
      </c>
    </row>
    <row r="179" spans="1:10" ht="25.5" x14ac:dyDescent="0.2">
      <c r="A179" s="19" t="s">
        <v>448</v>
      </c>
      <c r="B179" s="20" t="s">
        <v>449</v>
      </c>
      <c r="C179" s="19" t="s">
        <v>15</v>
      </c>
      <c r="D179" s="19" t="s">
        <v>450</v>
      </c>
      <c r="E179" s="21" t="s">
        <v>5</v>
      </c>
      <c r="F179" s="20">
        <v>9.5</v>
      </c>
      <c r="G179" s="82">
        <v>6.62</v>
      </c>
      <c r="H179" s="82">
        <f>TRUNC(G179 * (1 + 28.82 / 100), 2)</f>
        <v>8.52</v>
      </c>
      <c r="I179" s="82">
        <f>TRUNC(F179 * H179, 2)</f>
        <v>80.94</v>
      </c>
      <c r="J179" s="83">
        <f t="shared" si="20"/>
        <v>9.0282580461310298E-5</v>
      </c>
    </row>
    <row r="180" spans="1:10" ht="25.5" x14ac:dyDescent="0.2">
      <c r="A180" s="19" t="s">
        <v>451</v>
      </c>
      <c r="B180" s="20" t="s">
        <v>452</v>
      </c>
      <c r="C180" s="19" t="s">
        <v>15</v>
      </c>
      <c r="D180" s="19" t="s">
        <v>453</v>
      </c>
      <c r="E180" s="21" t="s">
        <v>5</v>
      </c>
      <c r="F180" s="20">
        <v>9.5</v>
      </c>
      <c r="G180" s="82">
        <v>12.25</v>
      </c>
      <c r="H180" s="82">
        <f>TRUNC(G180 * (1 + 28.82 / 100), 2)</f>
        <v>15.78</v>
      </c>
      <c r="I180" s="82">
        <f>TRUNC(F180 * H180, 2)</f>
        <v>149.91</v>
      </c>
      <c r="J180" s="83">
        <f t="shared" si="20"/>
        <v>1.6721351169946908E-4</v>
      </c>
    </row>
    <row r="181" spans="1:10" x14ac:dyDescent="0.2">
      <c r="A181" s="18" t="s">
        <v>454</v>
      </c>
      <c r="B181" s="18"/>
      <c r="C181" s="18"/>
      <c r="D181" s="18" t="s">
        <v>455</v>
      </c>
      <c r="E181" s="18"/>
      <c r="F181" s="39"/>
      <c r="G181" s="18"/>
      <c r="H181" s="18"/>
      <c r="I181" s="80">
        <v>6444.44</v>
      </c>
      <c r="J181" s="81">
        <f t="shared" si="20"/>
        <v>7.1882959331367249E-3</v>
      </c>
    </row>
    <row r="182" spans="1:10" ht="25.5" x14ac:dyDescent="0.2">
      <c r="A182" s="19" t="s">
        <v>456</v>
      </c>
      <c r="B182" s="20" t="s">
        <v>449</v>
      </c>
      <c r="C182" s="19" t="s">
        <v>15</v>
      </c>
      <c r="D182" s="19" t="s">
        <v>450</v>
      </c>
      <c r="E182" s="21" t="s">
        <v>5</v>
      </c>
      <c r="F182" s="20">
        <v>52.8</v>
      </c>
      <c r="G182" s="82">
        <v>6.62</v>
      </c>
      <c r="H182" s="82">
        <f>TRUNC(G182 * (1 + 28.82 / 100), 2)</f>
        <v>8.52</v>
      </c>
      <c r="I182" s="82">
        <f>TRUNC(F182 * H182, 2)</f>
        <v>449.85</v>
      </c>
      <c r="J182" s="83">
        <f t="shared" si="20"/>
        <v>5.0177438621843882E-4</v>
      </c>
    </row>
    <row r="183" spans="1:10" ht="25.5" x14ac:dyDescent="0.2">
      <c r="A183" s="19" t="s">
        <v>457</v>
      </c>
      <c r="B183" s="20" t="s">
        <v>458</v>
      </c>
      <c r="C183" s="19" t="s">
        <v>15</v>
      </c>
      <c r="D183" s="19" t="s">
        <v>459</v>
      </c>
      <c r="E183" s="21" t="s">
        <v>5</v>
      </c>
      <c r="F183" s="20">
        <v>52.8</v>
      </c>
      <c r="G183" s="82">
        <v>21.79</v>
      </c>
      <c r="H183" s="82">
        <f>TRUNC(G183 * (1 + 28.82 / 100), 2)</f>
        <v>28.06</v>
      </c>
      <c r="I183" s="82">
        <f>TRUNC(F183 * H183, 2)</f>
        <v>1481.56</v>
      </c>
      <c r="J183" s="83">
        <f t="shared" si="20"/>
        <v>1.6525705449500728E-3</v>
      </c>
    </row>
    <row r="184" spans="1:10" ht="25.5" x14ac:dyDescent="0.2">
      <c r="A184" s="19" t="s">
        <v>460</v>
      </c>
      <c r="B184" s="20" t="s">
        <v>452</v>
      </c>
      <c r="C184" s="19" t="s">
        <v>15</v>
      </c>
      <c r="D184" s="19" t="s">
        <v>453</v>
      </c>
      <c r="E184" s="21" t="s">
        <v>5</v>
      </c>
      <c r="F184" s="20">
        <v>52.8</v>
      </c>
      <c r="G184" s="82">
        <v>12.25</v>
      </c>
      <c r="H184" s="82">
        <f>TRUNC(G184 * (1 + 28.82 / 100), 2)</f>
        <v>15.78</v>
      </c>
      <c r="I184" s="82">
        <f>TRUNC(F184 * H184, 2)</f>
        <v>833.18</v>
      </c>
      <c r="J184" s="83">
        <f t="shared" si="20"/>
        <v>9.2935063489936389E-4</v>
      </c>
    </row>
    <row r="185" spans="1:10" ht="38.25" x14ac:dyDescent="0.2">
      <c r="A185" s="19" t="s">
        <v>461</v>
      </c>
      <c r="B185" s="20" t="s">
        <v>462</v>
      </c>
      <c r="C185" s="19" t="s">
        <v>15</v>
      </c>
      <c r="D185" s="19" t="s">
        <v>463</v>
      </c>
      <c r="E185" s="21" t="s">
        <v>5</v>
      </c>
      <c r="F185" s="20">
        <v>19.2</v>
      </c>
      <c r="G185" s="82">
        <v>133.25</v>
      </c>
      <c r="H185" s="82">
        <f>TRUNC(G185 * (1 + 28.82 / 100), 2)</f>
        <v>171.65</v>
      </c>
      <c r="I185" s="82">
        <f>TRUNC(F185 * H185, 2)</f>
        <v>3295.68</v>
      </c>
      <c r="J185" s="83">
        <f t="shared" si="20"/>
        <v>3.6760871605477038E-3</v>
      </c>
    </row>
    <row r="186" spans="1:10" ht="25.5" x14ac:dyDescent="0.2">
      <c r="A186" s="19" t="s">
        <v>464</v>
      </c>
      <c r="B186" s="20" t="s">
        <v>465</v>
      </c>
      <c r="C186" s="19" t="s">
        <v>15</v>
      </c>
      <c r="D186" s="19" t="s">
        <v>466</v>
      </c>
      <c r="E186" s="21" t="s">
        <v>78</v>
      </c>
      <c r="F186" s="20">
        <v>1.76</v>
      </c>
      <c r="G186" s="82">
        <v>169.45</v>
      </c>
      <c r="H186" s="82">
        <f>TRUNC(G186 * (1 + 28.82 / 100), 2)</f>
        <v>218.28</v>
      </c>
      <c r="I186" s="82">
        <f>TRUNC(F186 * H186, 2)</f>
        <v>384.17</v>
      </c>
      <c r="J186" s="83">
        <f t="shared" si="20"/>
        <v>4.2851320652114632E-4</v>
      </c>
    </row>
    <row r="187" spans="1:10" x14ac:dyDescent="0.2">
      <c r="A187" s="18" t="s">
        <v>467</v>
      </c>
      <c r="B187" s="18"/>
      <c r="C187" s="18"/>
      <c r="D187" s="18" t="s">
        <v>468</v>
      </c>
      <c r="E187" s="18"/>
      <c r="F187" s="39"/>
      <c r="G187" s="18"/>
      <c r="H187" s="18"/>
      <c r="I187" s="80">
        <v>5792.05</v>
      </c>
      <c r="J187" s="81">
        <f t="shared" si="20"/>
        <v>6.4606031648249615E-3</v>
      </c>
    </row>
    <row r="188" spans="1:10" ht="25.5" x14ac:dyDescent="0.2">
      <c r="A188" s="19" t="s">
        <v>469</v>
      </c>
      <c r="B188" s="20" t="s">
        <v>449</v>
      </c>
      <c r="C188" s="19" t="s">
        <v>15</v>
      </c>
      <c r="D188" s="19" t="s">
        <v>450</v>
      </c>
      <c r="E188" s="21" t="s">
        <v>5</v>
      </c>
      <c r="F188" s="20">
        <v>110.62</v>
      </c>
      <c r="G188" s="82">
        <v>6.62</v>
      </c>
      <c r="H188" s="82">
        <f>TRUNC(G188 * (1 + 28.82 / 100), 2)</f>
        <v>8.52</v>
      </c>
      <c r="I188" s="82">
        <f>TRUNC(F188 * H188, 2)</f>
        <v>942.48</v>
      </c>
      <c r="J188" s="83">
        <f t="shared" si="20"/>
        <v>1.051266696728141E-3</v>
      </c>
    </row>
    <row r="189" spans="1:10" ht="25.5" x14ac:dyDescent="0.2">
      <c r="A189" s="19" t="s">
        <v>470</v>
      </c>
      <c r="B189" s="20" t="s">
        <v>458</v>
      </c>
      <c r="C189" s="19" t="s">
        <v>15</v>
      </c>
      <c r="D189" s="19" t="s">
        <v>459</v>
      </c>
      <c r="E189" s="21" t="s">
        <v>5</v>
      </c>
      <c r="F189" s="20">
        <v>110.62</v>
      </c>
      <c r="G189" s="82">
        <v>21.79</v>
      </c>
      <c r="H189" s="82">
        <f>TRUNC(G189 * (1 + 28.82 / 100), 2)</f>
        <v>28.06</v>
      </c>
      <c r="I189" s="82">
        <f>TRUNC(F189 * H189, 2)</f>
        <v>3103.99</v>
      </c>
      <c r="J189" s="83">
        <f t="shared" si="20"/>
        <v>3.4622711505572345E-3</v>
      </c>
    </row>
    <row r="190" spans="1:10" ht="25.5" x14ac:dyDescent="0.2">
      <c r="A190" s="19" t="s">
        <v>471</v>
      </c>
      <c r="B190" s="20" t="s">
        <v>452</v>
      </c>
      <c r="C190" s="19" t="s">
        <v>15</v>
      </c>
      <c r="D190" s="19" t="s">
        <v>453</v>
      </c>
      <c r="E190" s="21" t="s">
        <v>5</v>
      </c>
      <c r="F190" s="20">
        <v>110.62</v>
      </c>
      <c r="G190" s="82">
        <v>12.25</v>
      </c>
      <c r="H190" s="82">
        <f>TRUNC(G190 * (1 + 28.82 / 100), 2)</f>
        <v>15.78</v>
      </c>
      <c r="I190" s="82">
        <f>TRUNC(F190 * H190, 2)</f>
        <v>1745.58</v>
      </c>
      <c r="J190" s="83">
        <f t="shared" si="20"/>
        <v>1.9470653175395853E-3</v>
      </c>
    </row>
    <row r="191" spans="1:10" x14ac:dyDescent="0.2">
      <c r="A191" s="18" t="s">
        <v>472</v>
      </c>
      <c r="B191" s="18"/>
      <c r="C191" s="18"/>
      <c r="D191" s="18" t="s">
        <v>473</v>
      </c>
      <c r="E191" s="18"/>
      <c r="F191" s="39"/>
      <c r="G191" s="18"/>
      <c r="H191" s="18"/>
      <c r="I191" s="80">
        <v>75337.960000000006</v>
      </c>
      <c r="J191" s="81">
        <f t="shared" si="20"/>
        <v>8.4033919390795381E-2</v>
      </c>
    </row>
    <row r="192" spans="1:10" x14ac:dyDescent="0.2">
      <c r="A192" s="18" t="s">
        <v>474</v>
      </c>
      <c r="B192" s="18"/>
      <c r="C192" s="18"/>
      <c r="D192" s="18" t="s">
        <v>475</v>
      </c>
      <c r="E192" s="18"/>
      <c r="F192" s="39"/>
      <c r="G192" s="18"/>
      <c r="H192" s="18"/>
      <c r="I192" s="80">
        <v>3735.26</v>
      </c>
      <c r="J192" s="81">
        <f t="shared" si="20"/>
        <v>4.1664061217434392E-3</v>
      </c>
    </row>
    <row r="193" spans="1:10" ht="51" x14ac:dyDescent="0.2">
      <c r="A193" s="19" t="s">
        <v>476</v>
      </c>
      <c r="B193" s="20" t="s">
        <v>477</v>
      </c>
      <c r="C193" s="19" t="s">
        <v>31</v>
      </c>
      <c r="D193" s="19" t="s">
        <v>478</v>
      </c>
      <c r="E193" s="21" t="s">
        <v>5</v>
      </c>
      <c r="F193" s="20">
        <v>9.5</v>
      </c>
      <c r="G193" s="82">
        <v>43.48</v>
      </c>
      <c r="H193" s="82">
        <f>TRUNC(G193 * (1 + 28.82 / 100), 2)</f>
        <v>56.01</v>
      </c>
      <c r="I193" s="82">
        <f>TRUNC(F193 * H193, 2)</f>
        <v>532.09</v>
      </c>
      <c r="J193" s="83">
        <f t="shared" si="20"/>
        <v>5.9350702048009143E-4</v>
      </c>
    </row>
    <row r="194" spans="1:10" ht="25.5" x14ac:dyDescent="0.2">
      <c r="A194" s="19" t="s">
        <v>479</v>
      </c>
      <c r="B194" s="20" t="s">
        <v>480</v>
      </c>
      <c r="C194" s="19" t="s">
        <v>15</v>
      </c>
      <c r="D194" s="19" t="s">
        <v>481</v>
      </c>
      <c r="E194" s="21" t="s">
        <v>5</v>
      </c>
      <c r="F194" s="20">
        <v>9.5</v>
      </c>
      <c r="G194" s="82">
        <v>26.77</v>
      </c>
      <c r="H194" s="82">
        <f>TRUNC(G194 * (1 + 28.82 / 100), 2)</f>
        <v>34.479999999999997</v>
      </c>
      <c r="I194" s="82">
        <f>TRUNC(F194 * H194, 2)</f>
        <v>327.56</v>
      </c>
      <c r="J194" s="83">
        <f t="shared" si="20"/>
        <v>3.653689406462417E-4</v>
      </c>
    </row>
    <row r="195" spans="1:10" ht="25.5" x14ac:dyDescent="0.2">
      <c r="A195" s="19" t="s">
        <v>482</v>
      </c>
      <c r="B195" s="20" t="s">
        <v>483</v>
      </c>
      <c r="C195" s="19" t="s">
        <v>15</v>
      </c>
      <c r="D195" s="19" t="s">
        <v>484</v>
      </c>
      <c r="E195" s="21" t="s">
        <v>134</v>
      </c>
      <c r="F195" s="20">
        <v>9.2200000000000006</v>
      </c>
      <c r="G195" s="82">
        <v>10.36</v>
      </c>
      <c r="H195" s="82">
        <f>TRUNC(G195 * (1 + 28.82 / 100), 2)</f>
        <v>13.34</v>
      </c>
      <c r="I195" s="82">
        <f>TRUNC(F195 * H195, 2)</f>
        <v>122.99</v>
      </c>
      <c r="J195" s="83">
        <f t="shared" si="20"/>
        <v>1.3718624377238143E-4</v>
      </c>
    </row>
    <row r="196" spans="1:10" ht="38.25" x14ac:dyDescent="0.2">
      <c r="A196" s="19" t="s">
        <v>485</v>
      </c>
      <c r="B196" s="20" t="s">
        <v>462</v>
      </c>
      <c r="C196" s="19" t="s">
        <v>15</v>
      </c>
      <c r="D196" s="19" t="s">
        <v>463</v>
      </c>
      <c r="E196" s="21" t="s">
        <v>5</v>
      </c>
      <c r="F196" s="20">
        <v>9.5</v>
      </c>
      <c r="G196" s="82">
        <v>133.25</v>
      </c>
      <c r="H196" s="82">
        <f>TRUNC(G196 * (1 + 28.82 / 100), 2)</f>
        <v>171.65</v>
      </c>
      <c r="I196" s="82">
        <f>TRUNC(F196 * H196, 2)</f>
        <v>1630.67</v>
      </c>
      <c r="J196" s="83">
        <f t="shared" si="20"/>
        <v>1.8188917158493314E-3</v>
      </c>
    </row>
    <row r="197" spans="1:10" ht="25.5" x14ac:dyDescent="0.2">
      <c r="A197" s="19" t="s">
        <v>486</v>
      </c>
      <c r="B197" s="20" t="s">
        <v>465</v>
      </c>
      <c r="C197" s="19" t="s">
        <v>15</v>
      </c>
      <c r="D197" s="19" t="s">
        <v>466</v>
      </c>
      <c r="E197" s="21" t="s">
        <v>78</v>
      </c>
      <c r="F197" s="20">
        <v>5.14</v>
      </c>
      <c r="G197" s="82">
        <v>169.45</v>
      </c>
      <c r="H197" s="82">
        <f>TRUNC(G197 * (1 + 28.82 / 100), 2)</f>
        <v>218.28</v>
      </c>
      <c r="I197" s="82">
        <f>TRUNC(F197 * H197, 2)</f>
        <v>1121.95</v>
      </c>
      <c r="J197" s="83">
        <f t="shared" si="20"/>
        <v>1.251452200995393E-3</v>
      </c>
    </row>
    <row r="198" spans="1:10" x14ac:dyDescent="0.2">
      <c r="A198" s="18" t="s">
        <v>487</v>
      </c>
      <c r="B198" s="18"/>
      <c r="C198" s="18"/>
      <c r="D198" s="18" t="s">
        <v>488</v>
      </c>
      <c r="E198" s="18"/>
      <c r="F198" s="39"/>
      <c r="G198" s="18"/>
      <c r="H198" s="18"/>
      <c r="I198" s="80">
        <v>32106.240000000002</v>
      </c>
      <c r="J198" s="81">
        <f t="shared" si="20"/>
        <v>3.5812134866693102E-2</v>
      </c>
    </row>
    <row r="199" spans="1:10" ht="25.5" x14ac:dyDescent="0.2">
      <c r="A199" s="19" t="s">
        <v>489</v>
      </c>
      <c r="B199" s="20" t="s">
        <v>490</v>
      </c>
      <c r="C199" s="19" t="s">
        <v>15</v>
      </c>
      <c r="D199" s="19" t="s">
        <v>491</v>
      </c>
      <c r="E199" s="21" t="s">
        <v>50</v>
      </c>
      <c r="F199" s="20">
        <v>49.2</v>
      </c>
      <c r="G199" s="82">
        <v>12.1</v>
      </c>
      <c r="H199" s="82">
        <f t="shared" ref="H199:H207" si="27">TRUNC(G199 * (1 + 28.82 / 100), 2)</f>
        <v>15.58</v>
      </c>
      <c r="I199" s="82">
        <f t="shared" ref="I199:I207" si="28">TRUNC(F199 * H199, 2)</f>
        <v>766.53</v>
      </c>
      <c r="J199" s="83">
        <f t="shared" si="20"/>
        <v>8.5500749198181593E-4</v>
      </c>
    </row>
    <row r="200" spans="1:10" ht="25.5" x14ac:dyDescent="0.2">
      <c r="A200" s="19" t="s">
        <v>492</v>
      </c>
      <c r="B200" s="20" t="s">
        <v>129</v>
      </c>
      <c r="C200" s="19" t="s">
        <v>15</v>
      </c>
      <c r="D200" s="19" t="s">
        <v>130</v>
      </c>
      <c r="E200" s="21" t="s">
        <v>50</v>
      </c>
      <c r="F200" s="20">
        <v>8.1999999999999993</v>
      </c>
      <c r="G200" s="82">
        <v>204.52</v>
      </c>
      <c r="H200" s="82">
        <f t="shared" si="27"/>
        <v>263.45999999999998</v>
      </c>
      <c r="I200" s="82">
        <f t="shared" si="28"/>
        <v>2160.37</v>
      </c>
      <c r="J200" s="83">
        <f t="shared" si="20"/>
        <v>2.4097328681887934E-3</v>
      </c>
    </row>
    <row r="201" spans="1:10" ht="25.5" x14ac:dyDescent="0.2">
      <c r="A201" s="19" t="s">
        <v>493</v>
      </c>
      <c r="B201" s="20" t="s">
        <v>483</v>
      </c>
      <c r="C201" s="19" t="s">
        <v>15</v>
      </c>
      <c r="D201" s="19" t="s">
        <v>484</v>
      </c>
      <c r="E201" s="21" t="s">
        <v>134</v>
      </c>
      <c r="F201" s="20">
        <v>159.08000000000001</v>
      </c>
      <c r="G201" s="82">
        <v>10.36</v>
      </c>
      <c r="H201" s="82">
        <f t="shared" si="27"/>
        <v>13.34</v>
      </c>
      <c r="I201" s="82">
        <f t="shared" si="28"/>
        <v>2122.12</v>
      </c>
      <c r="J201" s="83">
        <f t="shared" si="20"/>
        <v>2.3670678236787225E-3</v>
      </c>
    </row>
    <row r="202" spans="1:10" ht="25.5" x14ac:dyDescent="0.2">
      <c r="A202" s="19" t="s">
        <v>494</v>
      </c>
      <c r="B202" s="20" t="s">
        <v>136</v>
      </c>
      <c r="C202" s="19" t="s">
        <v>15</v>
      </c>
      <c r="D202" s="19" t="s">
        <v>137</v>
      </c>
      <c r="E202" s="21" t="s">
        <v>50</v>
      </c>
      <c r="F202" s="20">
        <v>9.84</v>
      </c>
      <c r="G202" s="82">
        <v>565.37</v>
      </c>
      <c r="H202" s="82">
        <f t="shared" si="27"/>
        <v>728.3</v>
      </c>
      <c r="I202" s="82">
        <f t="shared" si="28"/>
        <v>7166.47</v>
      </c>
      <c r="J202" s="83">
        <f t="shared" si="20"/>
        <v>7.9936669681068256E-3</v>
      </c>
    </row>
    <row r="203" spans="1:10" ht="25.5" x14ac:dyDescent="0.2">
      <c r="A203" s="19" t="s">
        <v>495</v>
      </c>
      <c r="B203" s="20" t="s">
        <v>156</v>
      </c>
      <c r="C203" s="19" t="s">
        <v>15</v>
      </c>
      <c r="D203" s="19" t="s">
        <v>157</v>
      </c>
      <c r="E203" s="21" t="s">
        <v>50</v>
      </c>
      <c r="F203" s="20">
        <v>9.84</v>
      </c>
      <c r="G203" s="82">
        <v>78.319999999999993</v>
      </c>
      <c r="H203" s="82">
        <f t="shared" si="27"/>
        <v>100.89</v>
      </c>
      <c r="I203" s="82">
        <f t="shared" si="28"/>
        <v>992.75</v>
      </c>
      <c r="J203" s="83">
        <f t="shared" ref="J203:J266" si="29">I203 / 896518.46</f>
        <v>1.1073391617613764E-3</v>
      </c>
    </row>
    <row r="204" spans="1:10" ht="25.5" x14ac:dyDescent="0.2">
      <c r="A204" s="19" t="s">
        <v>496</v>
      </c>
      <c r="B204" s="20" t="s">
        <v>497</v>
      </c>
      <c r="C204" s="19" t="s">
        <v>15</v>
      </c>
      <c r="D204" s="19" t="s">
        <v>498</v>
      </c>
      <c r="E204" s="21" t="s">
        <v>78</v>
      </c>
      <c r="F204" s="20">
        <v>65.599999999999994</v>
      </c>
      <c r="G204" s="82">
        <v>11.42</v>
      </c>
      <c r="H204" s="82">
        <f t="shared" si="27"/>
        <v>14.71</v>
      </c>
      <c r="I204" s="82">
        <f t="shared" si="28"/>
        <v>964.97</v>
      </c>
      <c r="J204" s="83">
        <f t="shared" si="29"/>
        <v>1.0763526274740623E-3</v>
      </c>
    </row>
    <row r="205" spans="1:10" ht="25.5" x14ac:dyDescent="0.2">
      <c r="A205" s="19" t="s">
        <v>499</v>
      </c>
      <c r="B205" s="20" t="s">
        <v>500</v>
      </c>
      <c r="C205" s="19" t="s">
        <v>15</v>
      </c>
      <c r="D205" s="19" t="s">
        <v>501</v>
      </c>
      <c r="E205" s="21" t="s">
        <v>5</v>
      </c>
      <c r="F205" s="20">
        <v>164</v>
      </c>
      <c r="G205" s="82">
        <v>15.86</v>
      </c>
      <c r="H205" s="82">
        <f t="shared" si="27"/>
        <v>20.43</v>
      </c>
      <c r="I205" s="82">
        <f t="shared" si="28"/>
        <v>3350.52</v>
      </c>
      <c r="J205" s="83">
        <f t="shared" si="29"/>
        <v>3.7372571224021421E-3</v>
      </c>
    </row>
    <row r="206" spans="1:10" ht="38.25" x14ac:dyDescent="0.2">
      <c r="A206" s="19" t="s">
        <v>502</v>
      </c>
      <c r="B206" s="20" t="s">
        <v>503</v>
      </c>
      <c r="C206" s="19" t="s">
        <v>31</v>
      </c>
      <c r="D206" s="19" t="s">
        <v>504</v>
      </c>
      <c r="E206" s="21" t="s">
        <v>78</v>
      </c>
      <c r="F206" s="20">
        <v>37</v>
      </c>
      <c r="G206" s="82">
        <v>61.76</v>
      </c>
      <c r="H206" s="82">
        <f t="shared" si="27"/>
        <v>79.55</v>
      </c>
      <c r="I206" s="82">
        <f t="shared" si="28"/>
        <v>2943.35</v>
      </c>
      <c r="J206" s="83">
        <f t="shared" si="29"/>
        <v>3.2830891178749406E-3</v>
      </c>
    </row>
    <row r="207" spans="1:10" ht="38.25" x14ac:dyDescent="0.2">
      <c r="A207" s="19" t="s">
        <v>505</v>
      </c>
      <c r="B207" s="20" t="s">
        <v>506</v>
      </c>
      <c r="C207" s="19" t="s">
        <v>31</v>
      </c>
      <c r="D207" s="19" t="s">
        <v>507</v>
      </c>
      <c r="E207" s="21" t="s">
        <v>78</v>
      </c>
      <c r="F207" s="20">
        <v>117</v>
      </c>
      <c r="G207" s="82">
        <v>77.23</v>
      </c>
      <c r="H207" s="82">
        <f t="shared" si="27"/>
        <v>99.48</v>
      </c>
      <c r="I207" s="82">
        <f t="shared" si="28"/>
        <v>11639.16</v>
      </c>
      <c r="J207" s="83">
        <f t="shared" si="29"/>
        <v>1.2982621685224419E-2</v>
      </c>
    </row>
    <row r="208" spans="1:10" x14ac:dyDescent="0.2">
      <c r="A208" s="18" t="s">
        <v>508</v>
      </c>
      <c r="B208" s="18"/>
      <c r="C208" s="18"/>
      <c r="D208" s="18" t="s">
        <v>509</v>
      </c>
      <c r="E208" s="18"/>
      <c r="F208" s="39"/>
      <c r="G208" s="18"/>
      <c r="H208" s="18"/>
      <c r="I208" s="80">
        <v>39496.46</v>
      </c>
      <c r="J208" s="81">
        <f t="shared" si="29"/>
        <v>4.4055378402358833E-2</v>
      </c>
    </row>
    <row r="209" spans="1:10" ht="25.5" x14ac:dyDescent="0.2">
      <c r="A209" s="19" t="s">
        <v>510</v>
      </c>
      <c r="B209" s="20" t="s">
        <v>511</v>
      </c>
      <c r="C209" s="19" t="s">
        <v>15</v>
      </c>
      <c r="D209" s="19" t="s">
        <v>512</v>
      </c>
      <c r="E209" s="21" t="s">
        <v>50</v>
      </c>
      <c r="F209" s="20">
        <v>18.899999999999999</v>
      </c>
      <c r="G209" s="82">
        <v>267.85000000000002</v>
      </c>
      <c r="H209" s="82">
        <f>TRUNC(G209 * (1 + 28.82 / 100), 2)</f>
        <v>345.04</v>
      </c>
      <c r="I209" s="82">
        <f>TRUNC(F209 * H209, 2)</f>
        <v>6521.25</v>
      </c>
      <c r="J209" s="83">
        <f t="shared" si="29"/>
        <v>7.2739718042169488E-3</v>
      </c>
    </row>
    <row r="210" spans="1:10" x14ac:dyDescent="0.2">
      <c r="A210" s="19" t="s">
        <v>513</v>
      </c>
      <c r="B210" s="20" t="s">
        <v>514</v>
      </c>
      <c r="C210" s="19" t="s">
        <v>275</v>
      </c>
      <c r="D210" s="19" t="s">
        <v>515</v>
      </c>
      <c r="E210" s="21" t="s">
        <v>5</v>
      </c>
      <c r="F210" s="20">
        <v>189</v>
      </c>
      <c r="G210" s="82">
        <v>109.57</v>
      </c>
      <c r="H210" s="82">
        <f>TRUNC(G210 * (1 + 28.82 / 100), 2)</f>
        <v>141.13999999999999</v>
      </c>
      <c r="I210" s="82">
        <f>TRUNC(F210 * H210, 2)</f>
        <v>26675.46</v>
      </c>
      <c r="J210" s="83">
        <f t="shared" si="29"/>
        <v>2.9754501652983253E-2</v>
      </c>
    </row>
    <row r="211" spans="1:10" ht="25.5" x14ac:dyDescent="0.2">
      <c r="A211" s="19" t="s">
        <v>516</v>
      </c>
      <c r="B211" s="20" t="s">
        <v>517</v>
      </c>
      <c r="C211" s="19" t="s">
        <v>15</v>
      </c>
      <c r="D211" s="19" t="s">
        <v>518</v>
      </c>
      <c r="E211" s="21" t="s">
        <v>50</v>
      </c>
      <c r="F211" s="20">
        <v>5.7</v>
      </c>
      <c r="G211" s="82">
        <v>857.96</v>
      </c>
      <c r="H211" s="82">
        <f>TRUNC(G211 * (1 + 28.82 / 100), 2)</f>
        <v>1105.22</v>
      </c>
      <c r="I211" s="82">
        <f>TRUNC(F211 * H211, 2)</f>
        <v>6299.75</v>
      </c>
      <c r="J211" s="83">
        <f t="shared" si="29"/>
        <v>7.0269049451586307E-3</v>
      </c>
    </row>
    <row r="212" spans="1:10" x14ac:dyDescent="0.2">
      <c r="A212" s="18" t="s">
        <v>519</v>
      </c>
      <c r="B212" s="18"/>
      <c r="C212" s="18"/>
      <c r="D212" s="18" t="s">
        <v>520</v>
      </c>
      <c r="E212" s="18"/>
      <c r="F212" s="39"/>
      <c r="G212" s="18"/>
      <c r="H212" s="18"/>
      <c r="I212" s="80">
        <v>16625.580000000002</v>
      </c>
      <c r="J212" s="81">
        <f t="shared" si="29"/>
        <v>1.854460420145727E-2</v>
      </c>
    </row>
    <row r="213" spans="1:10" ht="25.5" x14ac:dyDescent="0.2">
      <c r="A213" s="19" t="s">
        <v>521</v>
      </c>
      <c r="B213" s="20" t="s">
        <v>522</v>
      </c>
      <c r="C213" s="19" t="s">
        <v>15</v>
      </c>
      <c r="D213" s="19" t="s">
        <v>523</v>
      </c>
      <c r="E213" s="21" t="s">
        <v>5</v>
      </c>
      <c r="F213" s="20">
        <v>153.72</v>
      </c>
      <c r="G213" s="82">
        <v>31.05</v>
      </c>
      <c r="H213" s="82">
        <f>TRUNC(G213 * (1 + 28.82 / 100), 2)</f>
        <v>39.99</v>
      </c>
      <c r="I213" s="82">
        <f>TRUNC(F213 * H213, 2)</f>
        <v>6147.26</v>
      </c>
      <c r="J213" s="83">
        <f t="shared" si="29"/>
        <v>6.8568136343784827E-3</v>
      </c>
    </row>
    <row r="214" spans="1:10" ht="25.5" x14ac:dyDescent="0.2">
      <c r="A214" s="19" t="s">
        <v>524</v>
      </c>
      <c r="B214" s="20" t="s">
        <v>525</v>
      </c>
      <c r="C214" s="19" t="s">
        <v>15</v>
      </c>
      <c r="D214" s="19" t="s">
        <v>526</v>
      </c>
      <c r="E214" s="21" t="s">
        <v>5</v>
      </c>
      <c r="F214" s="20">
        <v>6.07</v>
      </c>
      <c r="G214" s="82">
        <v>45.1</v>
      </c>
      <c r="H214" s="82">
        <f>TRUNC(G214 * (1 + 28.82 / 100), 2)</f>
        <v>58.09</v>
      </c>
      <c r="I214" s="82">
        <f>TRUNC(F214 * H214, 2)</f>
        <v>352.6</v>
      </c>
      <c r="J214" s="83">
        <f t="shared" si="29"/>
        <v>3.932992076928344E-4</v>
      </c>
    </row>
    <row r="215" spans="1:10" ht="25.5" x14ac:dyDescent="0.2">
      <c r="A215" s="19" t="s">
        <v>663</v>
      </c>
      <c r="B215" s="20" t="s">
        <v>694</v>
      </c>
      <c r="C215" s="19" t="s">
        <v>15</v>
      </c>
      <c r="D215" s="19" t="s">
        <v>695</v>
      </c>
      <c r="E215" s="21" t="s">
        <v>5</v>
      </c>
      <c r="F215" s="20">
        <v>3.79</v>
      </c>
      <c r="G215" s="82">
        <v>45.51</v>
      </c>
      <c r="H215" s="82">
        <f>TRUNC(G215 * (1 + 28.82 / 100), 2)</f>
        <v>58.62</v>
      </c>
      <c r="I215" s="82">
        <f>TRUNC(F215 * H215, 2)</f>
        <v>222.16</v>
      </c>
      <c r="J215" s="83">
        <f t="shared" si="29"/>
        <v>2.4780304021849146E-4</v>
      </c>
    </row>
    <row r="216" spans="1:10" ht="25.5" x14ac:dyDescent="0.2">
      <c r="A216" s="19" t="s">
        <v>772</v>
      </c>
      <c r="B216" s="20" t="s">
        <v>773</v>
      </c>
      <c r="C216" s="19" t="s">
        <v>15</v>
      </c>
      <c r="D216" s="19" t="s">
        <v>774</v>
      </c>
      <c r="E216" s="21" t="s">
        <v>134</v>
      </c>
      <c r="F216" s="20">
        <v>1762.2</v>
      </c>
      <c r="G216" s="82">
        <v>4.37</v>
      </c>
      <c r="H216" s="82">
        <f>TRUNC(G216 * (1 + 28.82 / 100), 2)</f>
        <v>5.62</v>
      </c>
      <c r="I216" s="82">
        <f>TRUNC(F216 * H216, 2)</f>
        <v>9903.56</v>
      </c>
      <c r="J216" s="83">
        <f t="shared" si="29"/>
        <v>1.1046688319167461E-2</v>
      </c>
    </row>
    <row r="217" spans="1:10" x14ac:dyDescent="0.2">
      <c r="A217" s="18" t="s">
        <v>527</v>
      </c>
      <c r="B217" s="18"/>
      <c r="C217" s="18"/>
      <c r="D217" s="18" t="s">
        <v>528</v>
      </c>
      <c r="E217" s="18"/>
      <c r="F217" s="39"/>
      <c r="G217" s="18"/>
      <c r="H217" s="18"/>
      <c r="I217" s="80">
        <v>250930.97</v>
      </c>
      <c r="J217" s="81">
        <f t="shared" si="29"/>
        <v>0.27989492820928641</v>
      </c>
    </row>
    <row r="218" spans="1:10" x14ac:dyDescent="0.2">
      <c r="A218" s="18" t="s">
        <v>529</v>
      </c>
      <c r="B218" s="18"/>
      <c r="C218" s="18"/>
      <c r="D218" s="18" t="s">
        <v>108</v>
      </c>
      <c r="E218" s="18"/>
      <c r="F218" s="39"/>
      <c r="G218" s="18"/>
      <c r="H218" s="18"/>
      <c r="I218" s="80">
        <v>10537.41</v>
      </c>
      <c r="J218" s="81">
        <f t="shared" si="29"/>
        <v>1.1753701089434344E-2</v>
      </c>
    </row>
    <row r="219" spans="1:10" ht="25.5" x14ac:dyDescent="0.2">
      <c r="A219" s="19" t="s">
        <v>530</v>
      </c>
      <c r="B219" s="20" t="s">
        <v>110</v>
      </c>
      <c r="C219" s="19" t="s">
        <v>15</v>
      </c>
      <c r="D219" s="19" t="s">
        <v>111</v>
      </c>
      <c r="E219" s="21" t="s">
        <v>78</v>
      </c>
      <c r="F219" s="20">
        <v>123</v>
      </c>
      <c r="G219" s="82">
        <v>56.13</v>
      </c>
      <c r="H219" s="82">
        <f>TRUNC(G219 * (1 + 28.82 / 100), 2)</f>
        <v>72.3</v>
      </c>
      <c r="I219" s="82">
        <f>TRUNC(F219 * H219, 2)</f>
        <v>8892.9</v>
      </c>
      <c r="J219" s="83">
        <f t="shared" si="29"/>
        <v>9.9193718777413689E-3</v>
      </c>
    </row>
    <row r="220" spans="1:10" ht="25.5" x14ac:dyDescent="0.2">
      <c r="A220" s="19" t="s">
        <v>664</v>
      </c>
      <c r="B220" s="20" t="s">
        <v>132</v>
      </c>
      <c r="C220" s="19" t="s">
        <v>15</v>
      </c>
      <c r="D220" s="19" t="s">
        <v>133</v>
      </c>
      <c r="E220" s="21" t="s">
        <v>134</v>
      </c>
      <c r="F220" s="20">
        <v>123</v>
      </c>
      <c r="G220" s="82">
        <v>10.38</v>
      </c>
      <c r="H220" s="82">
        <f>TRUNC(G220 * (1 + 28.82 / 100), 2)</f>
        <v>13.37</v>
      </c>
      <c r="I220" s="82">
        <f>TRUNC(F220 * H220, 2)</f>
        <v>1644.51</v>
      </c>
      <c r="J220" s="83">
        <f t="shared" si="29"/>
        <v>1.8343292116929752E-3</v>
      </c>
    </row>
    <row r="221" spans="1:10" x14ac:dyDescent="0.2">
      <c r="A221" s="18" t="s">
        <v>531</v>
      </c>
      <c r="B221" s="18"/>
      <c r="C221" s="18"/>
      <c r="D221" s="18" t="s">
        <v>532</v>
      </c>
      <c r="E221" s="18"/>
      <c r="F221" s="39"/>
      <c r="G221" s="18"/>
      <c r="H221" s="18"/>
      <c r="I221" s="80">
        <v>238322.03</v>
      </c>
      <c r="J221" s="81">
        <f t="shared" si="29"/>
        <v>0.26583058869752668</v>
      </c>
    </row>
    <row r="222" spans="1:10" ht="25.5" x14ac:dyDescent="0.2">
      <c r="A222" s="19" t="s">
        <v>533</v>
      </c>
      <c r="B222" s="20" t="s">
        <v>120</v>
      </c>
      <c r="C222" s="19" t="s">
        <v>15</v>
      </c>
      <c r="D222" s="19" t="s">
        <v>121</v>
      </c>
      <c r="E222" s="21" t="s">
        <v>50</v>
      </c>
      <c r="F222" s="20">
        <v>19.329999999999998</v>
      </c>
      <c r="G222" s="82">
        <v>46.42</v>
      </c>
      <c r="H222" s="82">
        <f t="shared" ref="H222:H233" si="30">TRUNC(G222 * (1 + 28.82 / 100), 2)</f>
        <v>59.79</v>
      </c>
      <c r="I222" s="82">
        <f t="shared" ref="I222:I233" si="31">TRUNC(F222 * H222, 2)</f>
        <v>1155.74</v>
      </c>
      <c r="J222" s="83">
        <f t="shared" si="29"/>
        <v>1.2891424455442892E-3</v>
      </c>
    </row>
    <row r="223" spans="1:10" ht="25.5" x14ac:dyDescent="0.2">
      <c r="A223" s="19" t="s">
        <v>534</v>
      </c>
      <c r="B223" s="20" t="s">
        <v>123</v>
      </c>
      <c r="C223" s="19" t="s">
        <v>31</v>
      </c>
      <c r="D223" s="19" t="s">
        <v>124</v>
      </c>
      <c r="E223" s="21" t="s">
        <v>5</v>
      </c>
      <c r="F223" s="20">
        <v>35.880000000000003</v>
      </c>
      <c r="G223" s="82">
        <v>8.86</v>
      </c>
      <c r="H223" s="82">
        <f t="shared" si="30"/>
        <v>11.41</v>
      </c>
      <c r="I223" s="82">
        <f t="shared" si="31"/>
        <v>409.39</v>
      </c>
      <c r="J223" s="83">
        <f t="shared" si="29"/>
        <v>4.5664425024778633E-4</v>
      </c>
    </row>
    <row r="224" spans="1:10" ht="25.5" x14ac:dyDescent="0.2">
      <c r="A224" s="19" t="s">
        <v>535</v>
      </c>
      <c r="B224" s="20" t="s">
        <v>536</v>
      </c>
      <c r="C224" s="19" t="s">
        <v>15</v>
      </c>
      <c r="D224" s="19" t="s">
        <v>537</v>
      </c>
      <c r="E224" s="21" t="s">
        <v>50</v>
      </c>
      <c r="F224" s="20">
        <v>56.38</v>
      </c>
      <c r="G224" s="82">
        <v>789.7</v>
      </c>
      <c r="H224" s="82">
        <f t="shared" si="30"/>
        <v>1017.29</v>
      </c>
      <c r="I224" s="82">
        <f t="shared" si="31"/>
        <v>57354.81</v>
      </c>
      <c r="J224" s="83">
        <f t="shared" si="29"/>
        <v>6.3975046314160663E-2</v>
      </c>
    </row>
    <row r="225" spans="1:10" ht="25.5" x14ac:dyDescent="0.2">
      <c r="A225" s="19" t="s">
        <v>538</v>
      </c>
      <c r="B225" s="20" t="s">
        <v>539</v>
      </c>
      <c r="C225" s="19" t="s">
        <v>15</v>
      </c>
      <c r="D225" s="19" t="s">
        <v>540</v>
      </c>
      <c r="E225" s="21" t="s">
        <v>5</v>
      </c>
      <c r="F225" s="20">
        <v>61.5</v>
      </c>
      <c r="G225" s="82">
        <v>122.32</v>
      </c>
      <c r="H225" s="82">
        <f t="shared" si="30"/>
        <v>157.57</v>
      </c>
      <c r="I225" s="82">
        <f t="shared" si="31"/>
        <v>9690.5499999999993</v>
      </c>
      <c r="J225" s="83">
        <f t="shared" si="29"/>
        <v>1.0809091426851377E-2</v>
      </c>
    </row>
    <row r="226" spans="1:10" ht="25.5" x14ac:dyDescent="0.2">
      <c r="A226" s="19" t="s">
        <v>541</v>
      </c>
      <c r="B226" s="20" t="s">
        <v>132</v>
      </c>
      <c r="C226" s="19" t="s">
        <v>15</v>
      </c>
      <c r="D226" s="19" t="s">
        <v>133</v>
      </c>
      <c r="E226" s="21" t="s">
        <v>134</v>
      </c>
      <c r="F226" s="20">
        <v>434</v>
      </c>
      <c r="G226" s="82">
        <v>10.38</v>
      </c>
      <c r="H226" s="82">
        <f t="shared" si="30"/>
        <v>13.37</v>
      </c>
      <c r="I226" s="82">
        <f t="shared" si="31"/>
        <v>5802.58</v>
      </c>
      <c r="J226" s="83">
        <f t="shared" si="29"/>
        <v>6.472348600607733E-3</v>
      </c>
    </row>
    <row r="227" spans="1:10" ht="25.5" x14ac:dyDescent="0.2">
      <c r="A227" s="19" t="s">
        <v>542</v>
      </c>
      <c r="B227" s="20" t="s">
        <v>169</v>
      </c>
      <c r="C227" s="19" t="s">
        <v>15</v>
      </c>
      <c r="D227" s="19" t="s">
        <v>170</v>
      </c>
      <c r="E227" s="21" t="s">
        <v>50</v>
      </c>
      <c r="F227" s="20">
        <v>3.83</v>
      </c>
      <c r="G227" s="82">
        <v>421.36</v>
      </c>
      <c r="H227" s="82">
        <f t="shared" si="30"/>
        <v>542.79</v>
      </c>
      <c r="I227" s="82">
        <f t="shared" si="31"/>
        <v>2078.88</v>
      </c>
      <c r="J227" s="83">
        <f t="shared" si="29"/>
        <v>2.3188368034273384E-3</v>
      </c>
    </row>
    <row r="228" spans="1:10" ht="25.5" x14ac:dyDescent="0.2">
      <c r="A228" s="19" t="s">
        <v>543</v>
      </c>
      <c r="B228" s="20" t="s">
        <v>544</v>
      </c>
      <c r="C228" s="19" t="s">
        <v>15</v>
      </c>
      <c r="D228" s="19" t="s">
        <v>545</v>
      </c>
      <c r="E228" s="21" t="s">
        <v>5</v>
      </c>
      <c r="F228" s="20">
        <v>210.13</v>
      </c>
      <c r="G228" s="82">
        <v>550.47</v>
      </c>
      <c r="H228" s="82">
        <f t="shared" si="30"/>
        <v>709.11</v>
      </c>
      <c r="I228" s="82">
        <f t="shared" si="31"/>
        <v>149005.28</v>
      </c>
      <c r="J228" s="83">
        <f t="shared" si="29"/>
        <v>0.16620436348851089</v>
      </c>
    </row>
    <row r="229" spans="1:10" ht="25.5" x14ac:dyDescent="0.2">
      <c r="A229" s="19" t="s">
        <v>546</v>
      </c>
      <c r="B229" s="20" t="s">
        <v>547</v>
      </c>
      <c r="C229" s="19" t="s">
        <v>15</v>
      </c>
      <c r="D229" s="19" t="s">
        <v>548</v>
      </c>
      <c r="E229" s="21" t="s">
        <v>32</v>
      </c>
      <c r="F229" s="20">
        <v>205</v>
      </c>
      <c r="G229" s="82">
        <v>19.89</v>
      </c>
      <c r="H229" s="82">
        <f t="shared" si="30"/>
        <v>25.62</v>
      </c>
      <c r="I229" s="82">
        <f t="shared" si="31"/>
        <v>5252.1</v>
      </c>
      <c r="J229" s="83">
        <f t="shared" si="29"/>
        <v>5.8583288959828004E-3</v>
      </c>
    </row>
    <row r="230" spans="1:10" ht="25.5" x14ac:dyDescent="0.2">
      <c r="A230" s="19" t="s">
        <v>549</v>
      </c>
      <c r="B230" s="20" t="s">
        <v>452</v>
      </c>
      <c r="C230" s="19" t="s">
        <v>15</v>
      </c>
      <c r="D230" s="19" t="s">
        <v>453</v>
      </c>
      <c r="E230" s="21" t="s">
        <v>5</v>
      </c>
      <c r="F230" s="20">
        <v>82</v>
      </c>
      <c r="G230" s="82">
        <v>12.25</v>
      </c>
      <c r="H230" s="82">
        <f t="shared" si="30"/>
        <v>15.78</v>
      </c>
      <c r="I230" s="82">
        <f t="shared" si="31"/>
        <v>1293.96</v>
      </c>
      <c r="J230" s="83">
        <f t="shared" si="29"/>
        <v>1.4433166273006806E-3</v>
      </c>
    </row>
    <row r="231" spans="1:10" ht="38.25" x14ac:dyDescent="0.2">
      <c r="A231" s="19" t="s">
        <v>550</v>
      </c>
      <c r="B231" s="20" t="s">
        <v>458</v>
      </c>
      <c r="C231" s="19" t="s">
        <v>15</v>
      </c>
      <c r="D231" s="19" t="s">
        <v>459</v>
      </c>
      <c r="E231" s="21" t="s">
        <v>5</v>
      </c>
      <c r="F231" s="20">
        <v>82</v>
      </c>
      <c r="G231" s="82">
        <v>21.79</v>
      </c>
      <c r="H231" s="82">
        <f t="shared" si="30"/>
        <v>28.06</v>
      </c>
      <c r="I231" s="82">
        <f t="shared" si="31"/>
        <v>2300.92</v>
      </c>
      <c r="J231" s="83">
        <f t="shared" si="29"/>
        <v>2.5665059925257983E-3</v>
      </c>
    </row>
    <row r="232" spans="1:10" ht="38.25" x14ac:dyDescent="0.2">
      <c r="A232" s="19" t="s">
        <v>551</v>
      </c>
      <c r="B232" s="20" t="s">
        <v>449</v>
      </c>
      <c r="C232" s="19" t="s">
        <v>15</v>
      </c>
      <c r="D232" s="19" t="s">
        <v>450</v>
      </c>
      <c r="E232" s="21" t="s">
        <v>5</v>
      </c>
      <c r="F232" s="20">
        <v>82</v>
      </c>
      <c r="G232" s="82">
        <v>6.62</v>
      </c>
      <c r="H232" s="82">
        <f t="shared" si="30"/>
        <v>8.52</v>
      </c>
      <c r="I232" s="82">
        <f t="shared" si="31"/>
        <v>698.64</v>
      </c>
      <c r="J232" s="83">
        <f t="shared" si="29"/>
        <v>7.7928122082394154E-4</v>
      </c>
    </row>
    <row r="233" spans="1:10" ht="38.25" x14ac:dyDescent="0.2">
      <c r="A233" s="19" t="s">
        <v>552</v>
      </c>
      <c r="B233" s="20" t="s">
        <v>522</v>
      </c>
      <c r="C233" s="19" t="s">
        <v>15</v>
      </c>
      <c r="D233" s="19" t="s">
        <v>523</v>
      </c>
      <c r="E233" s="21" t="s">
        <v>5</v>
      </c>
      <c r="F233" s="20">
        <v>82</v>
      </c>
      <c r="G233" s="82">
        <v>31.05</v>
      </c>
      <c r="H233" s="82">
        <f t="shared" si="30"/>
        <v>39.99</v>
      </c>
      <c r="I233" s="82">
        <f t="shared" si="31"/>
        <v>3279.18</v>
      </c>
      <c r="J233" s="83">
        <f t="shared" si="29"/>
        <v>3.6576826315433595E-3</v>
      </c>
    </row>
    <row r="234" spans="1:10" x14ac:dyDescent="0.2">
      <c r="A234" s="18" t="s">
        <v>553</v>
      </c>
      <c r="B234" s="18"/>
      <c r="C234" s="18"/>
      <c r="D234" s="18" t="s">
        <v>554</v>
      </c>
      <c r="E234" s="18"/>
      <c r="F234" s="39"/>
      <c r="G234" s="18"/>
      <c r="H234" s="18"/>
      <c r="I234" s="80">
        <v>2071.5300000000002</v>
      </c>
      <c r="J234" s="81">
        <f t="shared" si="29"/>
        <v>2.3106384223254032E-3</v>
      </c>
    </row>
    <row r="235" spans="1:10" ht="25.5" x14ac:dyDescent="0.2">
      <c r="A235" s="19" t="s">
        <v>555</v>
      </c>
      <c r="B235" s="20" t="s">
        <v>145</v>
      </c>
      <c r="C235" s="19" t="s">
        <v>15</v>
      </c>
      <c r="D235" s="19" t="s">
        <v>146</v>
      </c>
      <c r="E235" s="21" t="s">
        <v>50</v>
      </c>
      <c r="F235" s="20">
        <v>28.93</v>
      </c>
      <c r="G235" s="82">
        <v>7.98</v>
      </c>
      <c r="H235" s="82">
        <f>TRUNC(G235 * (1 + 28.82 / 100), 2)</f>
        <v>10.27</v>
      </c>
      <c r="I235" s="82">
        <f>TRUNC(F235 * H235, 2)</f>
        <v>297.11</v>
      </c>
      <c r="J235" s="83">
        <f t="shared" si="29"/>
        <v>3.3140421893822469E-4</v>
      </c>
    </row>
    <row r="236" spans="1:10" ht="25.5" x14ac:dyDescent="0.2">
      <c r="A236" s="19" t="s">
        <v>556</v>
      </c>
      <c r="B236" s="20" t="s">
        <v>148</v>
      </c>
      <c r="C236" s="19" t="s">
        <v>15</v>
      </c>
      <c r="D236" s="19" t="s">
        <v>149</v>
      </c>
      <c r="E236" s="21" t="s">
        <v>50</v>
      </c>
      <c r="F236" s="20">
        <v>12.66</v>
      </c>
      <c r="G236" s="82">
        <v>108.81</v>
      </c>
      <c r="H236" s="82">
        <f>TRUNC(G236 * (1 + 28.82 / 100), 2)</f>
        <v>140.16</v>
      </c>
      <c r="I236" s="82">
        <f>TRUNC(F236 * H236, 2)</f>
        <v>1774.42</v>
      </c>
      <c r="J236" s="83">
        <f t="shared" si="29"/>
        <v>1.9792342033871785E-3</v>
      </c>
    </row>
    <row r="237" spans="1:10" x14ac:dyDescent="0.2">
      <c r="A237" s="18" t="s">
        <v>557</v>
      </c>
      <c r="B237" s="18"/>
      <c r="C237" s="18"/>
      <c r="D237" s="18" t="s">
        <v>1356</v>
      </c>
      <c r="E237" s="18"/>
      <c r="F237" s="39"/>
      <c r="G237" s="18"/>
      <c r="H237" s="18"/>
      <c r="I237" s="80">
        <v>40082.11</v>
      </c>
      <c r="J237" s="81">
        <f t="shared" si="29"/>
        <v>4.470862763941303E-2</v>
      </c>
    </row>
    <row r="238" spans="1:10" x14ac:dyDescent="0.2">
      <c r="A238" s="18" t="s">
        <v>558</v>
      </c>
      <c r="B238" s="18"/>
      <c r="C238" s="18"/>
      <c r="D238" s="18" t="s">
        <v>1357</v>
      </c>
      <c r="E238" s="18"/>
      <c r="F238" s="39"/>
      <c r="G238" s="18"/>
      <c r="H238" s="18"/>
      <c r="I238" s="80">
        <v>193.58</v>
      </c>
      <c r="J238" s="81">
        <f t="shared" si="29"/>
        <v>2.1592416513096675E-4</v>
      </c>
    </row>
    <row r="239" spans="1:10" ht="25.5" x14ac:dyDescent="0.2">
      <c r="A239" s="19" t="s">
        <v>560</v>
      </c>
      <c r="B239" s="20" t="s">
        <v>1358</v>
      </c>
      <c r="C239" s="19" t="s">
        <v>15</v>
      </c>
      <c r="D239" s="19" t="s">
        <v>1359</v>
      </c>
      <c r="E239" s="21" t="s">
        <v>50</v>
      </c>
      <c r="F239" s="20">
        <v>0.26</v>
      </c>
      <c r="G239" s="82">
        <v>547.48</v>
      </c>
      <c r="H239" s="82">
        <f>TRUNC(G239 * (1 + 28.82 / 100), 2)</f>
        <v>705.26</v>
      </c>
      <c r="I239" s="82">
        <f>TRUNC(F239 * H239, 2)</f>
        <v>183.36</v>
      </c>
      <c r="J239" s="83">
        <f t="shared" si="29"/>
        <v>2.0452451140827598E-4</v>
      </c>
    </row>
    <row r="240" spans="1:10" ht="25.5" x14ac:dyDescent="0.2">
      <c r="A240" s="19" t="s">
        <v>1360</v>
      </c>
      <c r="B240" s="20" t="s">
        <v>1361</v>
      </c>
      <c r="C240" s="19" t="s">
        <v>15</v>
      </c>
      <c r="D240" s="19" t="s">
        <v>1362</v>
      </c>
      <c r="E240" s="21" t="s">
        <v>78</v>
      </c>
      <c r="F240" s="20">
        <v>1.54</v>
      </c>
      <c r="G240" s="82">
        <v>5.16</v>
      </c>
      <c r="H240" s="82">
        <f>TRUNC(G240 * (1 + 28.82 / 100), 2)</f>
        <v>6.64</v>
      </c>
      <c r="I240" s="82">
        <f>TRUNC(F240 * H240, 2)</f>
        <v>10.220000000000001</v>
      </c>
      <c r="J240" s="83">
        <f t="shared" si="29"/>
        <v>1.1399653722690776E-5</v>
      </c>
    </row>
    <row r="241" spans="1:10" x14ac:dyDescent="0.2">
      <c r="A241" s="18" t="s">
        <v>561</v>
      </c>
      <c r="B241" s="18"/>
      <c r="C241" s="18"/>
      <c r="D241" s="18" t="s">
        <v>1363</v>
      </c>
      <c r="E241" s="18"/>
      <c r="F241" s="39"/>
      <c r="G241" s="18"/>
      <c r="H241" s="18"/>
      <c r="I241" s="80">
        <v>2186.4699999999998</v>
      </c>
      <c r="J241" s="81">
        <f t="shared" si="29"/>
        <v>2.4388454867956648E-3</v>
      </c>
    </row>
    <row r="242" spans="1:10" ht="25.5" x14ac:dyDescent="0.2">
      <c r="A242" s="19" t="s">
        <v>563</v>
      </c>
      <c r="B242" s="20" t="s">
        <v>120</v>
      </c>
      <c r="C242" s="19" t="s">
        <v>15</v>
      </c>
      <c r="D242" s="19" t="s">
        <v>121</v>
      </c>
      <c r="E242" s="21" t="s">
        <v>50</v>
      </c>
      <c r="F242" s="20">
        <v>1.32</v>
      </c>
      <c r="G242" s="82">
        <v>46.42</v>
      </c>
      <c r="H242" s="82">
        <f t="shared" ref="H242:H250" si="32">TRUNC(G242 * (1 + 28.82 / 100), 2)</f>
        <v>59.79</v>
      </c>
      <c r="I242" s="82">
        <f t="shared" ref="I242:I250" si="33">TRUNC(F242 * H242, 2)</f>
        <v>78.92</v>
      </c>
      <c r="J242" s="83">
        <f t="shared" si="29"/>
        <v>8.8029419940778474E-5</v>
      </c>
    </row>
    <row r="243" spans="1:10" ht="25.5" x14ac:dyDescent="0.2">
      <c r="A243" s="19" t="s">
        <v>566</v>
      </c>
      <c r="B243" s="20" t="s">
        <v>123</v>
      </c>
      <c r="C243" s="19" t="s">
        <v>31</v>
      </c>
      <c r="D243" s="19" t="s">
        <v>124</v>
      </c>
      <c r="E243" s="21" t="s">
        <v>5</v>
      </c>
      <c r="F243" s="20">
        <v>2.64</v>
      </c>
      <c r="G243" s="82">
        <v>8.86</v>
      </c>
      <c r="H243" s="82">
        <f t="shared" si="32"/>
        <v>11.41</v>
      </c>
      <c r="I243" s="82">
        <f t="shared" si="33"/>
        <v>30.12</v>
      </c>
      <c r="J243" s="83">
        <f t="shared" si="29"/>
        <v>3.3596631127930152E-5</v>
      </c>
    </row>
    <row r="244" spans="1:10" ht="25.5" x14ac:dyDescent="0.2">
      <c r="A244" s="19" t="s">
        <v>1364</v>
      </c>
      <c r="B244" s="20" t="s">
        <v>129</v>
      </c>
      <c r="C244" s="19" t="s">
        <v>15</v>
      </c>
      <c r="D244" s="19" t="s">
        <v>130</v>
      </c>
      <c r="E244" s="21" t="s">
        <v>50</v>
      </c>
      <c r="F244" s="20">
        <v>0.13</v>
      </c>
      <c r="G244" s="82">
        <v>204.52</v>
      </c>
      <c r="H244" s="82">
        <f t="shared" si="32"/>
        <v>263.45999999999998</v>
      </c>
      <c r="I244" s="82">
        <f t="shared" si="33"/>
        <v>34.24</v>
      </c>
      <c r="J244" s="83">
        <f t="shared" si="29"/>
        <v>3.8192186249014884E-5</v>
      </c>
    </row>
    <row r="245" spans="1:10" ht="25.5" x14ac:dyDescent="0.2">
      <c r="A245" s="19" t="s">
        <v>1365</v>
      </c>
      <c r="B245" s="20" t="s">
        <v>126</v>
      </c>
      <c r="C245" s="19" t="s">
        <v>15</v>
      </c>
      <c r="D245" s="19" t="s">
        <v>127</v>
      </c>
      <c r="E245" s="21" t="s">
        <v>5</v>
      </c>
      <c r="F245" s="20">
        <v>5.0199999999999996</v>
      </c>
      <c r="G245" s="82">
        <v>98.53</v>
      </c>
      <c r="H245" s="82">
        <f t="shared" si="32"/>
        <v>126.92</v>
      </c>
      <c r="I245" s="82">
        <f t="shared" si="33"/>
        <v>637.13</v>
      </c>
      <c r="J245" s="83">
        <f t="shared" si="29"/>
        <v>7.1067136754774686E-4</v>
      </c>
    </row>
    <row r="246" spans="1:10" ht="25.5" x14ac:dyDescent="0.2">
      <c r="A246" s="19" t="s">
        <v>1366</v>
      </c>
      <c r="B246" s="20" t="s">
        <v>132</v>
      </c>
      <c r="C246" s="19" t="s">
        <v>15</v>
      </c>
      <c r="D246" s="19" t="s">
        <v>133</v>
      </c>
      <c r="E246" s="21" t="s">
        <v>134</v>
      </c>
      <c r="F246" s="20">
        <v>55.46</v>
      </c>
      <c r="G246" s="82">
        <v>10.38</v>
      </c>
      <c r="H246" s="82">
        <f t="shared" si="32"/>
        <v>13.37</v>
      </c>
      <c r="I246" s="82">
        <f t="shared" si="33"/>
        <v>741.5</v>
      </c>
      <c r="J246" s="83">
        <f t="shared" si="29"/>
        <v>8.2708837919522602E-4</v>
      </c>
    </row>
    <row r="247" spans="1:10" ht="25.5" x14ac:dyDescent="0.2">
      <c r="A247" s="19" t="s">
        <v>1367</v>
      </c>
      <c r="B247" s="20" t="s">
        <v>136</v>
      </c>
      <c r="C247" s="19" t="s">
        <v>15</v>
      </c>
      <c r="D247" s="19" t="s">
        <v>137</v>
      </c>
      <c r="E247" s="21" t="s">
        <v>50</v>
      </c>
      <c r="F247" s="20">
        <v>0.59</v>
      </c>
      <c r="G247" s="82">
        <v>565.37</v>
      </c>
      <c r="H247" s="82">
        <f t="shared" si="32"/>
        <v>728.3</v>
      </c>
      <c r="I247" s="82">
        <f t="shared" si="33"/>
        <v>429.69</v>
      </c>
      <c r="J247" s="83">
        <f t="shared" si="29"/>
        <v>4.7928739805313099E-4</v>
      </c>
    </row>
    <row r="248" spans="1:10" ht="25.5" x14ac:dyDescent="0.2">
      <c r="A248" s="19" t="s">
        <v>1368</v>
      </c>
      <c r="B248" s="20" t="s">
        <v>139</v>
      </c>
      <c r="C248" s="19" t="s">
        <v>15</v>
      </c>
      <c r="D248" s="19" t="s">
        <v>140</v>
      </c>
      <c r="E248" s="21" t="s">
        <v>50</v>
      </c>
      <c r="F248" s="20">
        <v>0.59</v>
      </c>
      <c r="G248" s="82">
        <v>156.63999999999999</v>
      </c>
      <c r="H248" s="82">
        <f t="shared" si="32"/>
        <v>201.78</v>
      </c>
      <c r="I248" s="82">
        <f t="shared" si="33"/>
        <v>119.05</v>
      </c>
      <c r="J248" s="83">
        <f t="shared" si="29"/>
        <v>1.3279146533134409E-4</v>
      </c>
    </row>
    <row r="249" spans="1:10" ht="25.5" x14ac:dyDescent="0.2">
      <c r="A249" s="19" t="s">
        <v>1369</v>
      </c>
      <c r="B249" s="20" t="s">
        <v>145</v>
      </c>
      <c r="C249" s="19" t="s">
        <v>15</v>
      </c>
      <c r="D249" s="19" t="s">
        <v>146</v>
      </c>
      <c r="E249" s="21" t="s">
        <v>50</v>
      </c>
      <c r="F249" s="20">
        <v>0.77</v>
      </c>
      <c r="G249" s="82">
        <v>7.98</v>
      </c>
      <c r="H249" s="82">
        <f t="shared" si="32"/>
        <v>10.27</v>
      </c>
      <c r="I249" s="82">
        <f t="shared" si="33"/>
        <v>7.9</v>
      </c>
      <c r="J249" s="83">
        <f t="shared" si="29"/>
        <v>8.8118654020799539E-6</v>
      </c>
    </row>
    <row r="250" spans="1:10" ht="25.5" x14ac:dyDescent="0.2">
      <c r="A250" s="19" t="s">
        <v>1370</v>
      </c>
      <c r="B250" s="20" t="s">
        <v>148</v>
      </c>
      <c r="C250" s="19" t="s">
        <v>15</v>
      </c>
      <c r="D250" s="19" t="s">
        <v>149</v>
      </c>
      <c r="E250" s="21" t="s">
        <v>50</v>
      </c>
      <c r="F250" s="20">
        <v>0.77</v>
      </c>
      <c r="G250" s="82">
        <v>108.81</v>
      </c>
      <c r="H250" s="82">
        <f t="shared" si="32"/>
        <v>140.16</v>
      </c>
      <c r="I250" s="82">
        <f t="shared" si="33"/>
        <v>107.92</v>
      </c>
      <c r="J250" s="83">
        <f t="shared" si="29"/>
        <v>1.2037677394841374E-4</v>
      </c>
    </row>
    <row r="251" spans="1:10" x14ac:dyDescent="0.2">
      <c r="A251" s="18" t="s">
        <v>569</v>
      </c>
      <c r="B251" s="18"/>
      <c r="C251" s="18"/>
      <c r="D251" s="18" t="s">
        <v>1371</v>
      </c>
      <c r="E251" s="18"/>
      <c r="F251" s="39"/>
      <c r="G251" s="18"/>
      <c r="H251" s="18"/>
      <c r="I251" s="80">
        <v>12432.07</v>
      </c>
      <c r="J251" s="81">
        <f t="shared" si="29"/>
        <v>1.386705411509318E-2</v>
      </c>
    </row>
    <row r="252" spans="1:10" x14ac:dyDescent="0.2">
      <c r="A252" s="19" t="s">
        <v>665</v>
      </c>
      <c r="B252" s="20" t="s">
        <v>1372</v>
      </c>
      <c r="C252" s="19" t="s">
        <v>31</v>
      </c>
      <c r="D252" s="19" t="s">
        <v>1373</v>
      </c>
      <c r="E252" s="21" t="s">
        <v>134</v>
      </c>
      <c r="F252" s="20">
        <v>373.92</v>
      </c>
      <c r="G252" s="82">
        <v>10</v>
      </c>
      <c r="H252" s="82">
        <f>TRUNC(G252 * (1 + 28.82 / 100), 2)</f>
        <v>12.88</v>
      </c>
      <c r="I252" s="82">
        <f>TRUNC(F252 * H252, 2)</f>
        <v>4816.08</v>
      </c>
      <c r="J252" s="83">
        <f t="shared" si="29"/>
        <v>5.3719808513480027E-3</v>
      </c>
    </row>
    <row r="253" spans="1:10" ht="25.5" x14ac:dyDescent="0.2">
      <c r="A253" s="19" t="s">
        <v>1374</v>
      </c>
      <c r="B253" s="20" t="s">
        <v>1393</v>
      </c>
      <c r="C253" s="19" t="s">
        <v>1394</v>
      </c>
      <c r="D253" s="19" t="s">
        <v>1395</v>
      </c>
      <c r="E253" s="21" t="s">
        <v>1433</v>
      </c>
      <c r="F253" s="20">
        <v>97.55</v>
      </c>
      <c r="G253" s="82">
        <v>10.26</v>
      </c>
      <c r="H253" s="82">
        <f>TRUNC(G253 * (1 + 28.82 / 100), 2)</f>
        <v>13.21</v>
      </c>
      <c r="I253" s="82">
        <f>TRUNC(F253 * H253, 2)</f>
        <v>1288.6300000000001</v>
      </c>
      <c r="J253" s="83">
        <f t="shared" si="29"/>
        <v>1.4373714067192774E-3</v>
      </c>
    </row>
    <row r="254" spans="1:10" ht="25.5" x14ac:dyDescent="0.2">
      <c r="A254" s="19" t="s">
        <v>1377</v>
      </c>
      <c r="B254" s="20" t="s">
        <v>1375</v>
      </c>
      <c r="C254" s="19" t="s">
        <v>31</v>
      </c>
      <c r="D254" s="19" t="s">
        <v>1376</v>
      </c>
      <c r="E254" s="21" t="s">
        <v>134</v>
      </c>
      <c r="F254" s="20">
        <v>144</v>
      </c>
      <c r="G254" s="82">
        <v>8.98</v>
      </c>
      <c r="H254" s="82">
        <f>TRUNC(G254 * (1 + 28.82 / 100), 2)</f>
        <v>11.56</v>
      </c>
      <c r="I254" s="82">
        <f>TRUNC(F254 * H254, 2)</f>
        <v>1664.64</v>
      </c>
      <c r="J254" s="83">
        <f t="shared" si="29"/>
        <v>1.8567827370782751E-3</v>
      </c>
    </row>
    <row r="255" spans="1:10" x14ac:dyDescent="0.2">
      <c r="A255" s="19" t="s">
        <v>1380</v>
      </c>
      <c r="B255" s="20" t="s">
        <v>1378</v>
      </c>
      <c r="C255" s="19" t="s">
        <v>193</v>
      </c>
      <c r="D255" s="19" t="s">
        <v>1379</v>
      </c>
      <c r="E255" s="21" t="s">
        <v>5</v>
      </c>
      <c r="F255" s="20">
        <v>15</v>
      </c>
      <c r="G255" s="82">
        <v>142.1</v>
      </c>
      <c r="H255" s="82">
        <f>TRUNC(G255 * (1 + 28.82 / 100), 2)</f>
        <v>183.05</v>
      </c>
      <c r="I255" s="82">
        <f>TRUNC(F255 * H255, 2)</f>
        <v>2745.75</v>
      </c>
      <c r="J255" s="83">
        <f t="shared" si="29"/>
        <v>3.0626809402229155E-3</v>
      </c>
    </row>
    <row r="256" spans="1:10" ht="25.5" x14ac:dyDescent="0.2">
      <c r="A256" s="19" t="s">
        <v>1381</v>
      </c>
      <c r="B256" s="20" t="s">
        <v>525</v>
      </c>
      <c r="C256" s="19" t="s">
        <v>15</v>
      </c>
      <c r="D256" s="19" t="s">
        <v>526</v>
      </c>
      <c r="E256" s="21" t="s">
        <v>5</v>
      </c>
      <c r="F256" s="20">
        <v>33</v>
      </c>
      <c r="G256" s="82">
        <v>45.1</v>
      </c>
      <c r="H256" s="82">
        <f>TRUNC(G256 * (1 + 28.82 / 100), 2)</f>
        <v>58.09</v>
      </c>
      <c r="I256" s="82">
        <f>TRUNC(F256 * H256, 2)</f>
        <v>1916.97</v>
      </c>
      <c r="J256" s="83">
        <f t="shared" si="29"/>
        <v>2.1382381797247097E-3</v>
      </c>
    </row>
    <row r="257" spans="1:10" x14ac:dyDescent="0.2">
      <c r="A257" s="18" t="s">
        <v>1386</v>
      </c>
      <c r="B257" s="18"/>
      <c r="C257" s="18"/>
      <c r="D257" s="18" t="s">
        <v>1396</v>
      </c>
      <c r="E257" s="18"/>
      <c r="F257" s="39"/>
      <c r="G257" s="18"/>
      <c r="H257" s="18"/>
      <c r="I257" s="80">
        <v>25159.52</v>
      </c>
      <c r="J257" s="81">
        <f t="shared" si="29"/>
        <v>2.8063582762144129E-2</v>
      </c>
    </row>
    <row r="258" spans="1:10" ht="25.5" x14ac:dyDescent="0.2">
      <c r="A258" s="19" t="s">
        <v>1388</v>
      </c>
      <c r="B258" s="20" t="s">
        <v>1397</v>
      </c>
      <c r="C258" s="19" t="s">
        <v>31</v>
      </c>
      <c r="D258" s="19" t="s">
        <v>1398</v>
      </c>
      <c r="E258" s="21" t="s">
        <v>78</v>
      </c>
      <c r="F258" s="20">
        <v>136.19999999999999</v>
      </c>
      <c r="G258" s="82">
        <v>55.75</v>
      </c>
      <c r="H258" s="82">
        <f>TRUNC(G258 * (1 + 28.82 / 100), 2)</f>
        <v>71.81</v>
      </c>
      <c r="I258" s="82">
        <f>TRUNC(F258 * H258, 2)</f>
        <v>9780.52</v>
      </c>
      <c r="J258" s="83">
        <f t="shared" si="29"/>
        <v>1.0909446304095067E-2</v>
      </c>
    </row>
    <row r="259" spans="1:10" ht="25.5" x14ac:dyDescent="0.2">
      <c r="A259" s="19" t="s">
        <v>1389</v>
      </c>
      <c r="B259" s="20" t="s">
        <v>1384</v>
      </c>
      <c r="C259" s="19" t="s">
        <v>31</v>
      </c>
      <c r="D259" s="19" t="s">
        <v>1385</v>
      </c>
      <c r="E259" s="21" t="s">
        <v>78</v>
      </c>
      <c r="F259" s="20">
        <v>19.95</v>
      </c>
      <c r="G259" s="82">
        <v>81.42</v>
      </c>
      <c r="H259" s="82">
        <f>TRUNC(G259 * (1 + 28.82 / 100), 2)</f>
        <v>104.88</v>
      </c>
      <c r="I259" s="82">
        <f>TRUNC(F259 * H259, 2)</f>
        <v>2092.35</v>
      </c>
      <c r="J259" s="83">
        <f t="shared" si="29"/>
        <v>2.3338615916508845E-3</v>
      </c>
    </row>
    <row r="260" spans="1:10" ht="25.5" x14ac:dyDescent="0.2">
      <c r="A260" s="19" t="s">
        <v>1392</v>
      </c>
      <c r="B260" s="20" t="s">
        <v>1382</v>
      </c>
      <c r="C260" s="19" t="s">
        <v>31</v>
      </c>
      <c r="D260" s="19" t="s">
        <v>1383</v>
      </c>
      <c r="E260" s="21" t="s">
        <v>78</v>
      </c>
      <c r="F260" s="20">
        <v>37.299999999999997</v>
      </c>
      <c r="G260" s="82">
        <v>99.91</v>
      </c>
      <c r="H260" s="82">
        <f>TRUNC(G260 * (1 + 28.82 / 100), 2)</f>
        <v>128.69999999999999</v>
      </c>
      <c r="I260" s="82">
        <f>TRUNC(F260 * H260, 2)</f>
        <v>4800.51</v>
      </c>
      <c r="J260" s="83">
        <f t="shared" si="29"/>
        <v>5.3546136685239032E-3</v>
      </c>
    </row>
    <row r="261" spans="1:10" x14ac:dyDescent="0.2">
      <c r="A261" s="19" t="s">
        <v>1399</v>
      </c>
      <c r="B261" s="20" t="s">
        <v>1378</v>
      </c>
      <c r="C261" s="19" t="s">
        <v>193</v>
      </c>
      <c r="D261" s="19" t="s">
        <v>1379</v>
      </c>
      <c r="E261" s="21" t="s">
        <v>5</v>
      </c>
      <c r="F261" s="20">
        <v>27.3</v>
      </c>
      <c r="G261" s="82">
        <v>142.1</v>
      </c>
      <c r="H261" s="82">
        <f>TRUNC(G261 * (1 + 28.82 / 100), 2)</f>
        <v>183.05</v>
      </c>
      <c r="I261" s="82">
        <f>TRUNC(F261 * H261, 2)</f>
        <v>4997.26</v>
      </c>
      <c r="J261" s="83">
        <f t="shared" si="29"/>
        <v>5.5740737340757044E-3</v>
      </c>
    </row>
    <row r="262" spans="1:10" ht="25.5" x14ac:dyDescent="0.2">
      <c r="A262" s="19" t="s">
        <v>1400</v>
      </c>
      <c r="B262" s="20" t="s">
        <v>525</v>
      </c>
      <c r="C262" s="19" t="s">
        <v>15</v>
      </c>
      <c r="D262" s="19" t="s">
        <v>526</v>
      </c>
      <c r="E262" s="21" t="s">
        <v>5</v>
      </c>
      <c r="F262" s="20">
        <v>60.06</v>
      </c>
      <c r="G262" s="82">
        <v>45.1</v>
      </c>
      <c r="H262" s="82">
        <f>TRUNC(G262 * (1 + 28.82 / 100), 2)</f>
        <v>58.09</v>
      </c>
      <c r="I262" s="82">
        <f>TRUNC(F262 * H262, 2)</f>
        <v>3488.88</v>
      </c>
      <c r="J262" s="83">
        <f t="shared" si="29"/>
        <v>3.8915874637985705E-3</v>
      </c>
    </row>
    <row r="263" spans="1:10" x14ac:dyDescent="0.2">
      <c r="A263" s="18" t="s">
        <v>1401</v>
      </c>
      <c r="B263" s="18"/>
      <c r="C263" s="18"/>
      <c r="D263" s="18" t="s">
        <v>1387</v>
      </c>
      <c r="E263" s="18"/>
      <c r="F263" s="39"/>
      <c r="G263" s="18"/>
      <c r="H263" s="18"/>
      <c r="I263" s="80">
        <v>110.47</v>
      </c>
      <c r="J263" s="81">
        <f t="shared" si="29"/>
        <v>1.2322111024908511E-4</v>
      </c>
    </row>
    <row r="264" spans="1:10" ht="25.5" x14ac:dyDescent="0.2">
      <c r="A264" s="19" t="s">
        <v>1402</v>
      </c>
      <c r="B264" s="20" t="s">
        <v>129</v>
      </c>
      <c r="C264" s="19" t="s">
        <v>15</v>
      </c>
      <c r="D264" s="19" t="s">
        <v>130</v>
      </c>
      <c r="E264" s="21" t="s">
        <v>50</v>
      </c>
      <c r="F264" s="20">
        <v>7.0000000000000007E-2</v>
      </c>
      <c r="G264" s="82">
        <v>204.52</v>
      </c>
      <c r="H264" s="82">
        <f>TRUNC(G264 * (1 + 28.82 / 100), 2)</f>
        <v>263.45999999999998</v>
      </c>
      <c r="I264" s="82">
        <f>TRUNC(F264 * H264, 2)</f>
        <v>18.440000000000001</v>
      </c>
      <c r="J264" s="83">
        <f t="shared" si="29"/>
        <v>2.056845544485498E-5</v>
      </c>
    </row>
    <row r="265" spans="1:10" ht="25.5" x14ac:dyDescent="0.2">
      <c r="A265" s="19" t="s">
        <v>1403</v>
      </c>
      <c r="B265" s="20" t="s">
        <v>1390</v>
      </c>
      <c r="C265" s="19" t="s">
        <v>15</v>
      </c>
      <c r="D265" s="19" t="s">
        <v>1391</v>
      </c>
      <c r="E265" s="21" t="s">
        <v>50</v>
      </c>
      <c r="F265" s="20">
        <v>0.14000000000000001</v>
      </c>
      <c r="G265" s="82">
        <v>510.34</v>
      </c>
      <c r="H265" s="82">
        <f>TRUNC(G265 * (1 + 28.82 / 100), 2)</f>
        <v>657.41</v>
      </c>
      <c r="I265" s="82">
        <f>TRUNC(F265 * H265, 2)</f>
        <v>92.03</v>
      </c>
      <c r="J265" s="83">
        <f t="shared" si="29"/>
        <v>1.0265265480423014E-4</v>
      </c>
    </row>
    <row r="266" spans="1:10" x14ac:dyDescent="0.2">
      <c r="A266" s="18" t="s">
        <v>1404</v>
      </c>
      <c r="B266" s="18"/>
      <c r="C266" s="18"/>
      <c r="D266" s="18" t="s">
        <v>8</v>
      </c>
      <c r="E266" s="18"/>
      <c r="F266" s="39"/>
      <c r="G266" s="18"/>
      <c r="H266" s="18"/>
      <c r="I266" s="80">
        <v>23498.94</v>
      </c>
      <c r="J266" s="81">
        <f t="shared" si="29"/>
        <v>2.6211328654626921E-2</v>
      </c>
    </row>
    <row r="267" spans="1:10" x14ac:dyDescent="0.2">
      <c r="A267" s="18" t="s">
        <v>1405</v>
      </c>
      <c r="B267" s="18"/>
      <c r="C267" s="18"/>
      <c r="D267" s="18" t="s">
        <v>559</v>
      </c>
      <c r="E267" s="18"/>
      <c r="F267" s="39"/>
      <c r="G267" s="18"/>
      <c r="H267" s="18"/>
      <c r="I267" s="80">
        <v>6064.62</v>
      </c>
      <c r="J267" s="81">
        <f t="shared" ref="J267:J273" si="34">I267 / 896518.46</f>
        <v>6.7646348297167244E-3</v>
      </c>
    </row>
    <row r="268" spans="1:10" ht="25.5" x14ac:dyDescent="0.2">
      <c r="A268" s="19" t="s">
        <v>1406</v>
      </c>
      <c r="B268" s="20" t="s">
        <v>14</v>
      </c>
      <c r="C268" s="19" t="s">
        <v>15</v>
      </c>
      <c r="D268" s="19" t="s">
        <v>9</v>
      </c>
      <c r="E268" s="21" t="s">
        <v>5</v>
      </c>
      <c r="F268" s="20">
        <v>362.5</v>
      </c>
      <c r="G268" s="82">
        <v>12.99</v>
      </c>
      <c r="H268" s="82">
        <f>TRUNC(G268 * (1 + 28.82 / 100), 2)</f>
        <v>16.73</v>
      </c>
      <c r="I268" s="82">
        <f>TRUNC(F268 * H268, 2)</f>
        <v>6064.62</v>
      </c>
      <c r="J268" s="83">
        <f t="shared" si="34"/>
        <v>6.7646348297167244E-3</v>
      </c>
    </row>
    <row r="269" spans="1:10" x14ac:dyDescent="0.2">
      <c r="A269" s="18" t="s">
        <v>1407</v>
      </c>
      <c r="B269" s="18"/>
      <c r="C269" s="18"/>
      <c r="D269" s="18" t="s">
        <v>562</v>
      </c>
      <c r="E269" s="18"/>
      <c r="F269" s="39"/>
      <c r="G269" s="18"/>
      <c r="H269" s="18"/>
      <c r="I269" s="80">
        <v>16149.6</v>
      </c>
      <c r="J269" s="81">
        <f t="shared" si="34"/>
        <v>1.8013683733851951E-2</v>
      </c>
    </row>
    <row r="270" spans="1:10" ht="25.5" x14ac:dyDescent="0.2">
      <c r="A270" s="19" t="s">
        <v>1408</v>
      </c>
      <c r="B270" s="20" t="s">
        <v>564</v>
      </c>
      <c r="C270" s="19" t="s">
        <v>15</v>
      </c>
      <c r="D270" s="19" t="s">
        <v>565</v>
      </c>
      <c r="E270" s="21" t="s">
        <v>5</v>
      </c>
      <c r="F270" s="20">
        <v>240</v>
      </c>
      <c r="G270" s="82">
        <v>17.73</v>
      </c>
      <c r="H270" s="82">
        <f>TRUNC(G270 * (1 + 28.82 / 100), 2)</f>
        <v>22.83</v>
      </c>
      <c r="I270" s="82">
        <f>TRUNC(F270 * H270, 2)</f>
        <v>5479.2</v>
      </c>
      <c r="J270" s="83">
        <f t="shared" si="34"/>
        <v>6.1116421406425918E-3</v>
      </c>
    </row>
    <row r="271" spans="1:10" ht="25.5" x14ac:dyDescent="0.2">
      <c r="A271" s="19" t="s">
        <v>1409</v>
      </c>
      <c r="B271" s="20" t="s">
        <v>567</v>
      </c>
      <c r="C271" s="19" t="s">
        <v>15</v>
      </c>
      <c r="D271" s="19" t="s">
        <v>568</v>
      </c>
      <c r="E271" s="21" t="s">
        <v>50</v>
      </c>
      <c r="F271" s="20">
        <v>36</v>
      </c>
      <c r="G271" s="82">
        <v>230.09</v>
      </c>
      <c r="H271" s="82">
        <f>TRUNC(G271 * (1 + 28.82 / 100), 2)</f>
        <v>296.39999999999998</v>
      </c>
      <c r="I271" s="82">
        <f>TRUNC(F271 * H271, 2)</f>
        <v>10670.4</v>
      </c>
      <c r="J271" s="83">
        <f t="shared" si="34"/>
        <v>1.1902041593209359E-2</v>
      </c>
    </row>
    <row r="272" spans="1:10" x14ac:dyDescent="0.2">
      <c r="A272" s="18" t="s">
        <v>1410</v>
      </c>
      <c r="B272" s="18"/>
      <c r="C272" s="18"/>
      <c r="D272" s="18" t="s">
        <v>639</v>
      </c>
      <c r="E272" s="18"/>
      <c r="F272" s="39"/>
      <c r="G272" s="18"/>
      <c r="H272" s="18"/>
      <c r="I272" s="80">
        <v>1284.72</v>
      </c>
      <c r="J272" s="81">
        <f t="shared" si="34"/>
        <v>1.4330100910582477E-3</v>
      </c>
    </row>
    <row r="273" spans="1:10" x14ac:dyDescent="0.2">
      <c r="A273" s="19" t="s">
        <v>1411</v>
      </c>
      <c r="B273" s="20" t="s">
        <v>696</v>
      </c>
      <c r="C273" s="19" t="s">
        <v>240</v>
      </c>
      <c r="D273" s="19" t="s">
        <v>697</v>
      </c>
      <c r="E273" s="21" t="s">
        <v>32</v>
      </c>
      <c r="F273" s="20">
        <v>4</v>
      </c>
      <c r="G273" s="82">
        <v>249.33</v>
      </c>
      <c r="H273" s="82">
        <f>TRUNC(G273 * (1 + 28.82 / 100), 2)</f>
        <v>321.18</v>
      </c>
      <c r="I273" s="82">
        <f>TRUNC(F273 * H273, 2)</f>
        <v>1284.72</v>
      </c>
      <c r="J273" s="83">
        <f t="shared" si="34"/>
        <v>1.4330100910582477E-3</v>
      </c>
    </row>
    <row r="274" spans="1:10" x14ac:dyDescent="0.2">
      <c r="A274" s="79"/>
      <c r="B274" s="79"/>
      <c r="C274" s="79"/>
      <c r="D274" s="79"/>
      <c r="E274" s="79"/>
      <c r="F274" s="79"/>
      <c r="G274" s="79"/>
      <c r="H274" s="79"/>
      <c r="I274" s="79"/>
      <c r="J274" s="79"/>
    </row>
    <row r="275" spans="1:10" x14ac:dyDescent="0.2">
      <c r="A275" s="111"/>
      <c r="B275" s="111"/>
      <c r="C275" s="111"/>
      <c r="D275" s="85"/>
      <c r="E275" s="77"/>
      <c r="F275" s="112" t="s">
        <v>19</v>
      </c>
      <c r="G275" s="111"/>
      <c r="H275" s="113">
        <v>696027.38</v>
      </c>
      <c r="I275" s="111"/>
      <c r="J275" s="111"/>
    </row>
    <row r="276" spans="1:10" x14ac:dyDescent="0.2">
      <c r="A276" s="111"/>
      <c r="B276" s="111"/>
      <c r="C276" s="111"/>
      <c r="D276" s="85"/>
      <c r="E276" s="77"/>
      <c r="F276" s="112" t="s">
        <v>20</v>
      </c>
      <c r="G276" s="111"/>
      <c r="H276" s="113">
        <v>200491.08</v>
      </c>
      <c r="I276" s="111"/>
      <c r="J276" s="111"/>
    </row>
    <row r="277" spans="1:10" x14ac:dyDescent="0.2">
      <c r="A277" s="111"/>
      <c r="B277" s="111"/>
      <c r="C277" s="111"/>
      <c r="D277" s="85"/>
      <c r="E277" s="77"/>
      <c r="F277" s="112" t="s">
        <v>21</v>
      </c>
      <c r="G277" s="111"/>
      <c r="H277" s="113">
        <v>896518.46</v>
      </c>
      <c r="I277" s="111"/>
      <c r="J277" s="111"/>
    </row>
    <row r="278" spans="1:10" x14ac:dyDescent="0.2">
      <c r="A278" s="84"/>
      <c r="B278" s="84"/>
      <c r="C278" s="84"/>
      <c r="D278" s="84"/>
      <c r="E278" s="84"/>
      <c r="F278" s="84"/>
      <c r="G278" s="84"/>
      <c r="H278" s="84"/>
      <c r="I278" s="84"/>
      <c r="J278" s="84"/>
    </row>
    <row r="279" spans="1:10" x14ac:dyDescent="0.2">
      <c r="A279" s="114"/>
      <c r="B279" s="114"/>
      <c r="C279" s="114"/>
      <c r="D279" s="114"/>
      <c r="E279" s="114"/>
      <c r="F279" s="114"/>
      <c r="G279" s="114"/>
      <c r="H279" s="114"/>
      <c r="I279" s="114"/>
      <c r="J279" s="114"/>
    </row>
    <row r="280" spans="1:10" x14ac:dyDescent="0.2">
      <c r="A280" s="11"/>
      <c r="B280" s="11"/>
      <c r="C280" s="11"/>
      <c r="D280" s="12"/>
      <c r="E280" s="11"/>
      <c r="F280" s="14"/>
      <c r="G280" s="14"/>
      <c r="H280" s="15"/>
      <c r="I280" s="15"/>
      <c r="J280" s="15"/>
    </row>
    <row r="281" spans="1:10" ht="75" customHeight="1" x14ac:dyDescent="0.2">
      <c r="A281" s="115" t="s">
        <v>10</v>
      </c>
      <c r="B281" s="115"/>
      <c r="C281" s="115"/>
      <c r="D281" s="115"/>
      <c r="E281" s="115"/>
      <c r="F281" s="115"/>
      <c r="G281" s="115"/>
      <c r="H281" s="115"/>
      <c r="I281" s="115"/>
      <c r="J281" s="115"/>
    </row>
  </sheetData>
  <mergeCells count="13">
    <mergeCell ref="A279:J279"/>
    <mergeCell ref="A281:J281"/>
    <mergeCell ref="A276:C276"/>
    <mergeCell ref="F276:G276"/>
    <mergeCell ref="H276:J276"/>
    <mergeCell ref="A277:C277"/>
    <mergeCell ref="F277:G277"/>
    <mergeCell ref="H277:J277"/>
    <mergeCell ref="A8:J8"/>
    <mergeCell ref="A9:I9"/>
    <mergeCell ref="A275:C275"/>
    <mergeCell ref="F275:G275"/>
    <mergeCell ref="H275:J275"/>
  </mergeCells>
  <pageMargins left="0.51181102362204722" right="0.51181102362204722" top="0.59055118110236227" bottom="0.59055118110236227" header="0.11811023622047245" footer="0.31496062992125984"/>
  <pageSetup paperSize="9" scale="70" fitToHeight="0" orientation="landscape" r:id="rId1"/>
  <headerFooter>
    <oddHeader xml:space="preserve">&amp;L </oddHeader>
    <oddFooter>&amp;L &amp;CRodovia Sp 340 - KM 144 FAZENDA SANTA ELIZA - ZONA RURAL - SANTO ANTONIO DE POSSE / SP
(19) 3896-4915 /  &amp;R</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268"/>
  <sheetViews>
    <sheetView view="pageBreakPreview" topLeftCell="A214" zoomScale="110" zoomScaleNormal="110" zoomScaleSheetLayoutView="110" workbookViewId="0">
      <selection activeCell="A3" sqref="A3"/>
    </sheetView>
  </sheetViews>
  <sheetFormatPr defaultColWidth="9" defaultRowHeight="14.25" x14ac:dyDescent="0.2"/>
  <cols>
    <col min="1" max="1" width="7.75" style="2" customWidth="1"/>
    <col min="2" max="2" width="9" style="2" bestFit="1" customWidth="1"/>
    <col min="3" max="3" width="11.125" style="2" bestFit="1" customWidth="1"/>
    <col min="4" max="4" width="67.5" style="2" customWidth="1"/>
    <col min="5" max="5" width="10.375" style="6" customWidth="1"/>
    <col min="6" max="6" width="13.625" style="10" bestFit="1" customWidth="1"/>
    <col min="7" max="7" width="33" style="2" customWidth="1"/>
    <col min="8" max="16384" width="9" style="2"/>
  </cols>
  <sheetData>
    <row r="1" spans="1:10" ht="15" x14ac:dyDescent="0.2">
      <c r="A1" s="22" t="str">
        <f>'Orçamento Sintético'!A2</f>
        <v>CLIENTE: UNIVERSIDADE FRANCO MONTORO</v>
      </c>
      <c r="B1" s="1"/>
      <c r="C1" s="1"/>
      <c r="D1" s="1"/>
      <c r="E1" s="4"/>
      <c r="F1" s="109"/>
      <c r="G1" s="109"/>
    </row>
    <row r="2" spans="1:10" ht="15" x14ac:dyDescent="0.2">
      <c r="A2" s="22" t="str">
        <f>'Orçamento Sintético'!A3</f>
        <v>OBRA: PORTARIA DA UNIVERSIDADE FRANCO MONTORO</v>
      </c>
      <c r="B2" s="3"/>
      <c r="C2" s="3"/>
      <c r="D2" s="3"/>
      <c r="E2" s="5"/>
      <c r="F2" s="109"/>
      <c r="G2" s="109"/>
    </row>
    <row r="3" spans="1:10" x14ac:dyDescent="0.2">
      <c r="A3" s="73"/>
      <c r="B3" s="116" t="s">
        <v>768</v>
      </c>
      <c r="C3" s="116"/>
      <c r="D3" s="116"/>
      <c r="E3" s="5"/>
    </row>
    <row r="4" spans="1:10" ht="72.75" customHeight="1" x14ac:dyDescent="0.2">
      <c r="A4" s="117" t="s">
        <v>0</v>
      </c>
      <c r="B4" s="117"/>
      <c r="C4" s="117"/>
      <c r="D4" s="117"/>
      <c r="E4" s="117"/>
      <c r="F4" s="117"/>
      <c r="G4" s="117"/>
    </row>
    <row r="5" spans="1:10" ht="15" x14ac:dyDescent="0.2">
      <c r="A5" s="75" t="s">
        <v>1</v>
      </c>
      <c r="B5" s="17" t="s">
        <v>11</v>
      </c>
      <c r="C5" s="75" t="s">
        <v>12</v>
      </c>
      <c r="D5" s="75" t="s">
        <v>2</v>
      </c>
      <c r="E5" s="76" t="s">
        <v>3</v>
      </c>
      <c r="F5" s="27" t="s">
        <v>4</v>
      </c>
      <c r="G5" s="26" t="s">
        <v>13</v>
      </c>
      <c r="I5" s="17" t="s">
        <v>4</v>
      </c>
    </row>
    <row r="6" spans="1:10" x14ac:dyDescent="0.2">
      <c r="A6" s="18" t="s">
        <v>24</v>
      </c>
      <c r="B6" s="18"/>
      <c r="C6" s="18"/>
      <c r="D6" s="18" t="s">
        <v>25</v>
      </c>
      <c r="E6" s="18"/>
      <c r="F6" s="29"/>
      <c r="G6" s="28"/>
      <c r="I6" s="39"/>
    </row>
    <row r="7" spans="1:10" x14ac:dyDescent="0.2">
      <c r="A7" s="18" t="s">
        <v>26</v>
      </c>
      <c r="B7" s="18"/>
      <c r="C7" s="18"/>
      <c r="D7" s="18" t="s">
        <v>27</v>
      </c>
      <c r="E7" s="18"/>
      <c r="F7" s="29"/>
      <c r="G7" s="28"/>
      <c r="I7" s="39"/>
    </row>
    <row r="8" spans="1:10" x14ac:dyDescent="0.2">
      <c r="A8" s="19" t="s">
        <v>28</v>
      </c>
      <c r="B8" s="20" t="s">
        <v>29</v>
      </c>
      <c r="C8" s="19" t="s">
        <v>15</v>
      </c>
      <c r="D8" s="19" t="s">
        <v>30</v>
      </c>
      <c r="E8" s="21" t="s">
        <v>5</v>
      </c>
      <c r="F8" s="24">
        <v>4.5</v>
      </c>
      <c r="G8" s="23" t="s">
        <v>572</v>
      </c>
      <c r="I8" s="20">
        <v>4.5</v>
      </c>
      <c r="J8" s="10">
        <f>I8-F8</f>
        <v>0</v>
      </c>
    </row>
    <row r="9" spans="1:10" ht="25.5" x14ac:dyDescent="0.2">
      <c r="A9" s="19" t="s">
        <v>658</v>
      </c>
      <c r="B9" s="20" t="s">
        <v>672</v>
      </c>
      <c r="C9" s="19" t="s">
        <v>15</v>
      </c>
      <c r="D9" s="19" t="s">
        <v>571</v>
      </c>
      <c r="E9" s="21" t="s">
        <v>5</v>
      </c>
      <c r="F9" s="25">
        <f>(6.3+95.21+11.96+7.63)*1.8</f>
        <v>217.98</v>
      </c>
      <c r="G9" s="23" t="s">
        <v>573</v>
      </c>
      <c r="I9" s="20">
        <v>217.98</v>
      </c>
      <c r="J9" s="10">
        <f t="shared" ref="J9:J72" si="0">I9-F9</f>
        <v>0</v>
      </c>
    </row>
    <row r="10" spans="1:10" x14ac:dyDescent="0.2">
      <c r="A10" s="19" t="s">
        <v>33</v>
      </c>
      <c r="B10" s="20" t="s">
        <v>34</v>
      </c>
      <c r="C10" s="19" t="s">
        <v>15</v>
      </c>
      <c r="D10" s="19" t="s">
        <v>35</v>
      </c>
      <c r="E10" s="21" t="s">
        <v>36</v>
      </c>
      <c r="F10" s="31">
        <v>3</v>
      </c>
      <c r="G10" s="23" t="s">
        <v>574</v>
      </c>
      <c r="I10" s="20">
        <v>3</v>
      </c>
      <c r="J10" s="10">
        <f t="shared" si="0"/>
        <v>0</v>
      </c>
    </row>
    <row r="11" spans="1:10" x14ac:dyDescent="0.2">
      <c r="A11" s="19" t="s">
        <v>37</v>
      </c>
      <c r="B11" s="20" t="s">
        <v>38</v>
      </c>
      <c r="C11" s="19" t="s">
        <v>15</v>
      </c>
      <c r="D11" s="19" t="s">
        <v>39</v>
      </c>
      <c r="E11" s="21" t="s">
        <v>5</v>
      </c>
      <c r="F11" s="31">
        <f>13.8*7.45</f>
        <v>102.81</v>
      </c>
      <c r="G11" s="23" t="s">
        <v>575</v>
      </c>
      <c r="I11" s="20">
        <v>102.81</v>
      </c>
      <c r="J11" s="10">
        <f t="shared" si="0"/>
        <v>0</v>
      </c>
    </row>
    <row r="12" spans="1:10" x14ac:dyDescent="0.2">
      <c r="A12" s="18" t="s">
        <v>40</v>
      </c>
      <c r="B12" s="18"/>
      <c r="C12" s="18"/>
      <c r="D12" s="18" t="s">
        <v>41</v>
      </c>
      <c r="E12" s="18"/>
      <c r="F12" s="29"/>
      <c r="G12" s="28"/>
      <c r="I12" s="39"/>
      <c r="J12" s="10">
        <f t="shared" si="0"/>
        <v>0</v>
      </c>
    </row>
    <row r="13" spans="1:10" x14ac:dyDescent="0.2">
      <c r="A13" s="19" t="s">
        <v>42</v>
      </c>
      <c r="B13" s="20" t="s">
        <v>43</v>
      </c>
      <c r="C13" s="19" t="s">
        <v>15</v>
      </c>
      <c r="D13" s="19" t="s">
        <v>44</v>
      </c>
      <c r="E13" s="21" t="s">
        <v>32</v>
      </c>
      <c r="F13" s="31">
        <v>2</v>
      </c>
      <c r="G13" s="32" t="s">
        <v>576</v>
      </c>
      <c r="I13" s="20">
        <v>2</v>
      </c>
      <c r="J13" s="10">
        <f t="shared" si="0"/>
        <v>0</v>
      </c>
    </row>
    <row r="14" spans="1:10" x14ac:dyDescent="0.2">
      <c r="A14" s="18" t="s">
        <v>45</v>
      </c>
      <c r="B14" s="18"/>
      <c r="C14" s="18"/>
      <c r="D14" s="18" t="s">
        <v>46</v>
      </c>
      <c r="E14" s="18"/>
      <c r="F14" s="29"/>
      <c r="G14" s="28"/>
      <c r="I14" s="39"/>
      <c r="J14" s="10">
        <f t="shared" si="0"/>
        <v>0</v>
      </c>
    </row>
    <row r="15" spans="1:10" ht="25.5" x14ac:dyDescent="0.2">
      <c r="A15" s="19" t="s">
        <v>47</v>
      </c>
      <c r="B15" s="20" t="s">
        <v>48</v>
      </c>
      <c r="C15" s="19" t="s">
        <v>15</v>
      </c>
      <c r="D15" s="19" t="s">
        <v>49</v>
      </c>
      <c r="E15" s="21" t="s">
        <v>50</v>
      </c>
      <c r="F15" s="31">
        <f>2*5.4*0.1</f>
        <v>1.08</v>
      </c>
      <c r="G15" s="31" t="s">
        <v>586</v>
      </c>
      <c r="I15" s="20">
        <v>1.08</v>
      </c>
      <c r="J15" s="10">
        <f t="shared" si="0"/>
        <v>0</v>
      </c>
    </row>
    <row r="16" spans="1:10" ht="25.5" x14ac:dyDescent="0.2">
      <c r="A16" s="19" t="s">
        <v>51</v>
      </c>
      <c r="B16" s="20" t="s">
        <v>52</v>
      </c>
      <c r="C16" s="19" t="s">
        <v>15</v>
      </c>
      <c r="D16" s="19" t="s">
        <v>53</v>
      </c>
      <c r="E16" s="21" t="s">
        <v>50</v>
      </c>
      <c r="F16" s="31">
        <f>15*4*0.15</f>
        <v>9</v>
      </c>
      <c r="G16" s="30" t="s">
        <v>577</v>
      </c>
      <c r="I16" s="20">
        <v>9</v>
      </c>
      <c r="J16" s="10">
        <f t="shared" si="0"/>
        <v>0</v>
      </c>
    </row>
    <row r="17" spans="1:10" x14ac:dyDescent="0.2">
      <c r="A17" s="19" t="s">
        <v>54</v>
      </c>
      <c r="B17" s="20" t="s">
        <v>55</v>
      </c>
      <c r="C17" s="19" t="s">
        <v>15</v>
      </c>
      <c r="D17" s="19" t="s">
        <v>56</v>
      </c>
      <c r="E17" s="21" t="s">
        <v>5</v>
      </c>
      <c r="F17" s="31">
        <f>12.23*6.67</f>
        <v>81.574100000000001</v>
      </c>
      <c r="G17" s="30" t="s">
        <v>578</v>
      </c>
      <c r="I17" s="20">
        <v>81.569999999999993</v>
      </c>
      <c r="J17" s="10">
        <f t="shared" si="0"/>
        <v>-4.1000000000082082E-3</v>
      </c>
    </row>
    <row r="18" spans="1:10" x14ac:dyDescent="0.2">
      <c r="A18" s="19" t="s">
        <v>57</v>
      </c>
      <c r="B18" s="20" t="s">
        <v>58</v>
      </c>
      <c r="C18" s="19" t="s">
        <v>15</v>
      </c>
      <c r="D18" s="19" t="s">
        <v>59</v>
      </c>
      <c r="E18" s="21" t="s">
        <v>5</v>
      </c>
      <c r="F18" s="31">
        <f>F17</f>
        <v>81.574100000000001</v>
      </c>
      <c r="G18" s="32" t="s">
        <v>579</v>
      </c>
      <c r="I18" s="20">
        <v>81.569999999999993</v>
      </c>
      <c r="J18" s="10">
        <f t="shared" si="0"/>
        <v>-4.1000000000082082E-3</v>
      </c>
    </row>
    <row r="19" spans="1:10" ht="51" x14ac:dyDescent="0.2">
      <c r="A19" s="19" t="s">
        <v>60</v>
      </c>
      <c r="B19" s="20" t="s">
        <v>61</v>
      </c>
      <c r="C19" s="19" t="s">
        <v>15</v>
      </c>
      <c r="D19" s="19" t="s">
        <v>62</v>
      </c>
      <c r="E19" s="21" t="s">
        <v>5</v>
      </c>
      <c r="F19" s="31">
        <f>(0.6*0.6)+(1.2*1*3)+(0.9*2.1)</f>
        <v>5.85</v>
      </c>
      <c r="G19" s="30" t="s">
        <v>580</v>
      </c>
      <c r="I19" s="20">
        <v>5.85</v>
      </c>
      <c r="J19" s="10">
        <f t="shared" si="0"/>
        <v>0</v>
      </c>
    </row>
    <row r="20" spans="1:10" ht="25.5" x14ac:dyDescent="0.2">
      <c r="A20" s="19" t="s">
        <v>63</v>
      </c>
      <c r="B20" s="20" t="s">
        <v>64</v>
      </c>
      <c r="C20" s="19" t="s">
        <v>15</v>
      </c>
      <c r="D20" s="19" t="s">
        <v>65</v>
      </c>
      <c r="E20" s="21" t="s">
        <v>5</v>
      </c>
      <c r="F20" s="31">
        <v>193.5</v>
      </c>
      <c r="G20" s="32" t="s">
        <v>581</v>
      </c>
      <c r="I20" s="20">
        <v>193.5</v>
      </c>
      <c r="J20" s="10">
        <f t="shared" si="0"/>
        <v>0</v>
      </c>
    </row>
    <row r="21" spans="1:10" ht="25.5" x14ac:dyDescent="0.2">
      <c r="A21" s="19" t="s">
        <v>66</v>
      </c>
      <c r="B21" s="20" t="s">
        <v>67</v>
      </c>
      <c r="C21" s="19" t="s">
        <v>15</v>
      </c>
      <c r="D21" s="19" t="s">
        <v>68</v>
      </c>
      <c r="E21" s="21" t="s">
        <v>5</v>
      </c>
      <c r="F21" s="31">
        <v>298.5</v>
      </c>
      <c r="G21" s="32" t="s">
        <v>581</v>
      </c>
      <c r="I21" s="20">
        <v>298.5</v>
      </c>
      <c r="J21" s="10">
        <f t="shared" si="0"/>
        <v>0</v>
      </c>
    </row>
    <row r="22" spans="1:10" ht="25.5" x14ac:dyDescent="0.2">
      <c r="A22" s="19" t="s">
        <v>69</v>
      </c>
      <c r="B22" s="20" t="s">
        <v>70</v>
      </c>
      <c r="C22" s="19" t="s">
        <v>15</v>
      </c>
      <c r="D22" s="19" t="s">
        <v>71</v>
      </c>
      <c r="E22" s="21" t="s">
        <v>32</v>
      </c>
      <c r="F22" s="31">
        <f>(71.5/2.5)+(28/0.3)</f>
        <v>121.93333333333334</v>
      </c>
      <c r="G22" s="30" t="s">
        <v>584</v>
      </c>
      <c r="I22" s="20">
        <v>121.93</v>
      </c>
      <c r="J22" s="10">
        <f t="shared" si="0"/>
        <v>-3.3333333333303017E-3</v>
      </c>
    </row>
    <row r="23" spans="1:10" x14ac:dyDescent="0.2">
      <c r="A23" s="19" t="s">
        <v>72</v>
      </c>
      <c r="B23" s="20" t="s">
        <v>73</v>
      </c>
      <c r="C23" s="19" t="s">
        <v>15</v>
      </c>
      <c r="D23" s="19" t="s">
        <v>74</v>
      </c>
      <c r="E23" s="21" t="s">
        <v>5</v>
      </c>
      <c r="F23" s="31">
        <f>71.5*2.2</f>
        <v>157.30000000000001</v>
      </c>
      <c r="G23" s="30" t="s">
        <v>582</v>
      </c>
      <c r="I23" s="20">
        <v>157.30000000000001</v>
      </c>
      <c r="J23" s="10">
        <f t="shared" si="0"/>
        <v>0</v>
      </c>
    </row>
    <row r="24" spans="1:10" ht="25.5" x14ac:dyDescent="0.2">
      <c r="A24" s="19" t="s">
        <v>75</v>
      </c>
      <c r="B24" s="20" t="s">
        <v>76</v>
      </c>
      <c r="C24" s="19" t="s">
        <v>15</v>
      </c>
      <c r="D24" s="19" t="s">
        <v>77</v>
      </c>
      <c r="E24" s="21" t="s">
        <v>78</v>
      </c>
      <c r="F24" s="31">
        <v>176</v>
      </c>
      <c r="G24" s="32" t="s">
        <v>583</v>
      </c>
      <c r="I24" s="20">
        <v>176</v>
      </c>
      <c r="J24" s="10">
        <f t="shared" si="0"/>
        <v>0</v>
      </c>
    </row>
    <row r="25" spans="1:10" x14ac:dyDescent="0.2">
      <c r="A25" s="19" t="s">
        <v>79</v>
      </c>
      <c r="B25" s="20" t="s">
        <v>80</v>
      </c>
      <c r="C25" s="19" t="s">
        <v>15</v>
      </c>
      <c r="D25" s="19" t="s">
        <v>81</v>
      </c>
      <c r="E25" s="21" t="s">
        <v>32</v>
      </c>
      <c r="F25" s="31">
        <v>1</v>
      </c>
      <c r="G25" s="32" t="s">
        <v>585</v>
      </c>
      <c r="I25" s="20">
        <v>1</v>
      </c>
      <c r="J25" s="10">
        <f t="shared" si="0"/>
        <v>0</v>
      </c>
    </row>
    <row r="26" spans="1:10" ht="127.5" x14ac:dyDescent="0.2">
      <c r="A26" s="19" t="s">
        <v>82</v>
      </c>
      <c r="B26" s="20" t="s">
        <v>83</v>
      </c>
      <c r="C26" s="19" t="s">
        <v>15</v>
      </c>
      <c r="D26" s="19" t="s">
        <v>84</v>
      </c>
      <c r="E26" s="21" t="s">
        <v>50</v>
      </c>
      <c r="F26" s="31">
        <f>(F15+F16+(F17*0.1)+(F19*0.05)+(F20*0.15)+(F21*0.08)+(F23*0.03)+(F24*0.1))*1.3</f>
        <v>121.88008299999998</v>
      </c>
      <c r="G26" s="30" t="s">
        <v>587</v>
      </c>
      <c r="I26" s="20">
        <v>121.88</v>
      </c>
      <c r="J26" s="10">
        <f t="shared" si="0"/>
        <v>-8.2999999989397111E-5</v>
      </c>
    </row>
    <row r="27" spans="1:10" x14ac:dyDescent="0.2">
      <c r="A27" s="18" t="s">
        <v>85</v>
      </c>
      <c r="B27" s="18"/>
      <c r="C27" s="18"/>
      <c r="D27" s="18" t="s">
        <v>86</v>
      </c>
      <c r="E27" s="18"/>
      <c r="F27" s="29"/>
      <c r="G27" s="28"/>
      <c r="I27" s="39"/>
      <c r="J27" s="10">
        <f t="shared" si="0"/>
        <v>0</v>
      </c>
    </row>
    <row r="28" spans="1:10" ht="25.5" x14ac:dyDescent="0.2">
      <c r="A28" s="19" t="s">
        <v>87</v>
      </c>
      <c r="B28" s="20" t="s">
        <v>88</v>
      </c>
      <c r="C28" s="19" t="s">
        <v>15</v>
      </c>
      <c r="D28" s="19" t="s">
        <v>89</v>
      </c>
      <c r="E28" s="21" t="s">
        <v>5</v>
      </c>
      <c r="F28" s="31">
        <f>701.85</f>
        <v>701.85</v>
      </c>
      <c r="G28" s="31" t="s">
        <v>588</v>
      </c>
      <c r="I28" s="20">
        <v>701.85</v>
      </c>
      <c r="J28" s="10">
        <f t="shared" si="0"/>
        <v>0</v>
      </c>
    </row>
    <row r="29" spans="1:10" x14ac:dyDescent="0.2">
      <c r="A29" s="19" t="s">
        <v>90</v>
      </c>
      <c r="B29" s="20" t="s">
        <v>91</v>
      </c>
      <c r="C29" s="19" t="s">
        <v>15</v>
      </c>
      <c r="D29" s="19" t="s">
        <v>92</v>
      </c>
      <c r="E29" s="21" t="s">
        <v>50</v>
      </c>
      <c r="F29" s="31">
        <f>F28*0.15</f>
        <v>105.2775</v>
      </c>
      <c r="G29" s="31" t="s">
        <v>589</v>
      </c>
      <c r="I29" s="20">
        <v>105.28</v>
      </c>
      <c r="J29" s="10">
        <f t="shared" si="0"/>
        <v>2.4999999999977263E-3</v>
      </c>
    </row>
    <row r="30" spans="1:10" ht="25.5" x14ac:dyDescent="0.2">
      <c r="A30" s="19" t="s">
        <v>93</v>
      </c>
      <c r="B30" s="20" t="s">
        <v>94</v>
      </c>
      <c r="C30" s="19" t="s">
        <v>15</v>
      </c>
      <c r="D30" s="19" t="s">
        <v>95</v>
      </c>
      <c r="E30" s="21" t="s">
        <v>50</v>
      </c>
      <c r="F30" s="31">
        <f>F28*0.3</f>
        <v>210.55500000000001</v>
      </c>
      <c r="G30" s="31" t="s">
        <v>590</v>
      </c>
      <c r="I30" s="20">
        <v>210.56</v>
      </c>
      <c r="J30" s="10">
        <f t="shared" si="0"/>
        <v>4.9999999999954525E-3</v>
      </c>
    </row>
    <row r="31" spans="1:10" ht="25.5" x14ac:dyDescent="0.2">
      <c r="A31" s="19" t="s">
        <v>96</v>
      </c>
      <c r="B31" s="20" t="s">
        <v>97</v>
      </c>
      <c r="C31" s="19" t="s">
        <v>15</v>
      </c>
      <c r="D31" s="19" t="s">
        <v>98</v>
      </c>
      <c r="E31" s="21" t="s">
        <v>50</v>
      </c>
      <c r="F31" s="31">
        <f>F30</f>
        <v>210.55500000000001</v>
      </c>
      <c r="G31" s="31" t="s">
        <v>591</v>
      </c>
      <c r="I31" s="20">
        <v>210.56</v>
      </c>
      <c r="J31" s="10">
        <f t="shared" si="0"/>
        <v>4.9999999999954525E-3</v>
      </c>
    </row>
    <row r="32" spans="1:10" ht="25.5" x14ac:dyDescent="0.2">
      <c r="A32" s="19" t="s">
        <v>99</v>
      </c>
      <c r="B32" s="20" t="s">
        <v>100</v>
      </c>
      <c r="C32" s="19" t="s">
        <v>15</v>
      </c>
      <c r="D32" s="19" t="s">
        <v>101</v>
      </c>
      <c r="E32" s="21" t="s">
        <v>50</v>
      </c>
      <c r="F32" s="31">
        <f>F29*1.3</f>
        <v>136.86075</v>
      </c>
      <c r="G32" s="31" t="s">
        <v>592</v>
      </c>
      <c r="I32" s="20">
        <v>136.86000000000001</v>
      </c>
      <c r="J32" s="10">
        <f t="shared" si="0"/>
        <v>-7.4999999998226485E-4</v>
      </c>
    </row>
    <row r="33" spans="1:10" ht="25.5" x14ac:dyDescent="0.2">
      <c r="A33" s="19" t="s">
        <v>102</v>
      </c>
      <c r="B33" s="20" t="s">
        <v>103</v>
      </c>
      <c r="C33" s="19" t="s">
        <v>15</v>
      </c>
      <c r="D33" s="19" t="s">
        <v>104</v>
      </c>
      <c r="E33" s="21" t="s">
        <v>50</v>
      </c>
      <c r="F33" s="31">
        <f>F32</f>
        <v>136.86075</v>
      </c>
      <c r="G33" s="31" t="str">
        <f>G32</f>
        <v>105,28m³ da escavação*1,3 do empolamento</v>
      </c>
      <c r="I33" s="20">
        <v>136.86000000000001</v>
      </c>
      <c r="J33" s="10">
        <f t="shared" si="0"/>
        <v>-7.4999999998226485E-4</v>
      </c>
    </row>
    <row r="34" spans="1:10" x14ac:dyDescent="0.2">
      <c r="A34" s="18" t="s">
        <v>105</v>
      </c>
      <c r="B34" s="18"/>
      <c r="C34" s="18"/>
      <c r="D34" s="18" t="s">
        <v>106</v>
      </c>
      <c r="E34" s="18"/>
      <c r="F34" s="29"/>
      <c r="G34" s="28"/>
      <c r="I34" s="39"/>
      <c r="J34" s="10">
        <f t="shared" si="0"/>
        <v>0</v>
      </c>
    </row>
    <row r="35" spans="1:10" x14ac:dyDescent="0.2">
      <c r="A35" s="18" t="s">
        <v>107</v>
      </c>
      <c r="B35" s="18"/>
      <c r="C35" s="18"/>
      <c r="D35" s="18" t="s">
        <v>108</v>
      </c>
      <c r="E35" s="18"/>
      <c r="F35" s="29"/>
      <c r="G35" s="28"/>
      <c r="I35" s="39"/>
      <c r="J35" s="10">
        <f t="shared" si="0"/>
        <v>0</v>
      </c>
    </row>
    <row r="36" spans="1:10" ht="25.5" x14ac:dyDescent="0.2">
      <c r="A36" s="19" t="s">
        <v>109</v>
      </c>
      <c r="B36" s="20" t="s">
        <v>110</v>
      </c>
      <c r="C36" s="19" t="s">
        <v>15</v>
      </c>
      <c r="D36" s="19" t="s">
        <v>111</v>
      </c>
      <c r="E36" s="21" t="s">
        <v>78</v>
      </c>
      <c r="F36" s="31">
        <f>[4]Estacas!$F$11</f>
        <v>85</v>
      </c>
      <c r="G36" s="31" t="s">
        <v>593</v>
      </c>
      <c r="I36" s="20">
        <v>85</v>
      </c>
      <c r="J36" s="10">
        <f t="shared" si="0"/>
        <v>0</v>
      </c>
    </row>
    <row r="37" spans="1:10" x14ac:dyDescent="0.2">
      <c r="A37" s="19" t="s">
        <v>112</v>
      </c>
      <c r="B37" s="20" t="s">
        <v>132</v>
      </c>
      <c r="C37" s="19" t="s">
        <v>15</v>
      </c>
      <c r="D37" s="19" t="s">
        <v>133</v>
      </c>
      <c r="E37" s="21" t="s">
        <v>134</v>
      </c>
      <c r="F37" s="38">
        <v>153</v>
      </c>
      <c r="G37" s="31" t="s">
        <v>657</v>
      </c>
      <c r="I37" s="20">
        <v>153</v>
      </c>
      <c r="J37" s="10">
        <f t="shared" si="0"/>
        <v>0</v>
      </c>
    </row>
    <row r="38" spans="1:10" ht="25.5" x14ac:dyDescent="0.2">
      <c r="A38" s="19" t="s">
        <v>116</v>
      </c>
      <c r="B38" s="20" t="s">
        <v>113</v>
      </c>
      <c r="C38" s="19" t="s">
        <v>15</v>
      </c>
      <c r="D38" s="19" t="s">
        <v>114</v>
      </c>
      <c r="E38" s="21" t="s">
        <v>115</v>
      </c>
      <c r="F38" s="31">
        <v>1</v>
      </c>
      <c r="G38" s="31" t="s">
        <v>594</v>
      </c>
      <c r="I38" s="20">
        <v>1</v>
      </c>
      <c r="J38" s="10">
        <f t="shared" si="0"/>
        <v>0</v>
      </c>
    </row>
    <row r="39" spans="1:10" ht="38.25" x14ac:dyDescent="0.2">
      <c r="A39" s="19" t="s">
        <v>659</v>
      </c>
      <c r="B39" s="20" t="s">
        <v>83</v>
      </c>
      <c r="C39" s="19" t="s">
        <v>15</v>
      </c>
      <c r="D39" s="19" t="s">
        <v>84</v>
      </c>
      <c r="E39" s="21" t="s">
        <v>50</v>
      </c>
      <c r="F39" s="31">
        <f>[4]Estacas!$G$11*1.3</f>
        <v>5.4241560659636274</v>
      </c>
      <c r="G39" s="31" t="s">
        <v>595</v>
      </c>
      <c r="I39" s="20">
        <v>5.42</v>
      </c>
      <c r="J39" s="10">
        <f t="shared" si="0"/>
        <v>-4.1560659636274977E-3</v>
      </c>
    </row>
    <row r="40" spans="1:10" x14ac:dyDescent="0.2">
      <c r="A40" s="18" t="s">
        <v>117</v>
      </c>
      <c r="B40" s="18"/>
      <c r="C40" s="18"/>
      <c r="D40" s="18" t="s">
        <v>118</v>
      </c>
      <c r="E40" s="18"/>
      <c r="F40" s="29"/>
      <c r="G40" s="28"/>
      <c r="I40" s="39"/>
      <c r="J40" s="10">
        <f t="shared" si="0"/>
        <v>0</v>
      </c>
    </row>
    <row r="41" spans="1:10" ht="38.25" x14ac:dyDescent="0.2">
      <c r="A41" s="19" t="s">
        <v>119</v>
      </c>
      <c r="B41" s="20" t="s">
        <v>120</v>
      </c>
      <c r="C41" s="19" t="s">
        <v>15</v>
      </c>
      <c r="D41" s="19" t="s">
        <v>121</v>
      </c>
      <c r="E41" s="21" t="s">
        <v>50</v>
      </c>
      <c r="F41" s="31">
        <f>'[4]Vigas Baldrames '!$H$15+[4]Blocos!$H$15</f>
        <v>12.585750000000001</v>
      </c>
      <c r="G41" s="31" t="s">
        <v>597</v>
      </c>
      <c r="I41" s="20">
        <v>12.59</v>
      </c>
      <c r="J41" s="10">
        <f t="shared" si="0"/>
        <v>4.2499999999989768E-3</v>
      </c>
    </row>
    <row r="42" spans="1:10" ht="38.25" x14ac:dyDescent="0.2">
      <c r="A42" s="19" t="s">
        <v>122</v>
      </c>
      <c r="B42" s="20" t="s">
        <v>123</v>
      </c>
      <c r="C42" s="19" t="s">
        <v>31</v>
      </c>
      <c r="D42" s="19" t="s">
        <v>124</v>
      </c>
      <c r="E42" s="21" t="s">
        <v>5</v>
      </c>
      <c r="F42" s="31">
        <f>'[4]Vigas Baldrames '!$I$15+[4]Blocos!$I$15</f>
        <v>12.695</v>
      </c>
      <c r="G42" s="31" t="s">
        <v>597</v>
      </c>
      <c r="I42" s="20">
        <v>12.7</v>
      </c>
      <c r="J42" s="10">
        <f t="shared" si="0"/>
        <v>4.9999999999990052E-3</v>
      </c>
    </row>
    <row r="43" spans="1:10" ht="38.25" x14ac:dyDescent="0.2">
      <c r="A43" s="19" t="s">
        <v>125</v>
      </c>
      <c r="B43" s="20" t="s">
        <v>126</v>
      </c>
      <c r="C43" s="19" t="s">
        <v>15</v>
      </c>
      <c r="D43" s="19" t="s">
        <v>127</v>
      </c>
      <c r="E43" s="21" t="s">
        <v>5</v>
      </c>
      <c r="F43" s="31">
        <f>'[4]Vigas Baldrames '!$K$15+[4]Blocos!$K$15</f>
        <v>18.34</v>
      </c>
      <c r="G43" s="31" t="s">
        <v>597</v>
      </c>
      <c r="I43" s="20">
        <v>18.34</v>
      </c>
      <c r="J43" s="10">
        <f t="shared" si="0"/>
        <v>0</v>
      </c>
    </row>
    <row r="44" spans="1:10" ht="38.25" x14ac:dyDescent="0.2">
      <c r="A44" s="19" t="s">
        <v>128</v>
      </c>
      <c r="B44" s="20" t="s">
        <v>129</v>
      </c>
      <c r="C44" s="19" t="s">
        <v>15</v>
      </c>
      <c r="D44" s="19" t="s">
        <v>130</v>
      </c>
      <c r="E44" s="21" t="s">
        <v>50</v>
      </c>
      <c r="F44" s="31">
        <f>'[4]Vigas Baldrames '!$J$15+[4]Blocos!$J$15</f>
        <v>0.63475000000000015</v>
      </c>
      <c r="G44" s="31" t="s">
        <v>597</v>
      </c>
      <c r="I44" s="20">
        <v>0.63</v>
      </c>
      <c r="J44" s="10">
        <f t="shared" si="0"/>
        <v>-4.750000000000143E-3</v>
      </c>
    </row>
    <row r="45" spans="1:10" x14ac:dyDescent="0.2">
      <c r="A45" s="19" t="s">
        <v>131</v>
      </c>
      <c r="B45" s="20" t="s">
        <v>132</v>
      </c>
      <c r="C45" s="19" t="s">
        <v>15</v>
      </c>
      <c r="D45" s="19" t="s">
        <v>133</v>
      </c>
      <c r="E45" s="21" t="s">
        <v>134</v>
      </c>
      <c r="F45" s="38">
        <f>61+31</f>
        <v>92</v>
      </c>
      <c r="G45" s="31" t="s">
        <v>657</v>
      </c>
      <c r="I45" s="20">
        <v>92</v>
      </c>
      <c r="J45" s="10">
        <f t="shared" si="0"/>
        <v>0</v>
      </c>
    </row>
    <row r="46" spans="1:10" ht="38.25" x14ac:dyDescent="0.2">
      <c r="A46" s="19" t="s">
        <v>135</v>
      </c>
      <c r="B46" s="20" t="s">
        <v>136</v>
      </c>
      <c r="C46" s="19" t="s">
        <v>15</v>
      </c>
      <c r="D46" s="19" t="s">
        <v>137</v>
      </c>
      <c r="E46" s="21" t="s">
        <v>50</v>
      </c>
      <c r="F46" s="31">
        <f>'[4]Vigas Baldrames '!$L$15+[4]Blocos!$L$15</f>
        <v>2.6384999999999996</v>
      </c>
      <c r="G46" s="31" t="s">
        <v>597</v>
      </c>
      <c r="I46" s="20">
        <v>2.64</v>
      </c>
      <c r="J46" s="10">
        <f t="shared" si="0"/>
        <v>1.5000000000005009E-3</v>
      </c>
    </row>
    <row r="47" spans="1:10" ht="38.25" x14ac:dyDescent="0.2">
      <c r="A47" s="19" t="s">
        <v>138</v>
      </c>
      <c r="B47" s="20" t="s">
        <v>139</v>
      </c>
      <c r="C47" s="19" t="s">
        <v>15</v>
      </c>
      <c r="D47" s="19" t="s">
        <v>140</v>
      </c>
      <c r="E47" s="21" t="s">
        <v>50</v>
      </c>
      <c r="F47" s="31">
        <f>F46</f>
        <v>2.6384999999999996</v>
      </c>
      <c r="G47" s="31" t="s">
        <v>597</v>
      </c>
      <c r="I47" s="20">
        <v>2.64</v>
      </c>
      <c r="J47" s="10">
        <f t="shared" si="0"/>
        <v>1.5000000000005009E-3</v>
      </c>
    </row>
    <row r="48" spans="1:10" ht="25.5" x14ac:dyDescent="0.2">
      <c r="A48" s="19" t="s">
        <v>141</v>
      </c>
      <c r="B48" s="20" t="s">
        <v>142</v>
      </c>
      <c r="C48" s="19" t="s">
        <v>15</v>
      </c>
      <c r="D48" s="19" t="s">
        <v>143</v>
      </c>
      <c r="E48" s="21" t="s">
        <v>5</v>
      </c>
      <c r="F48" s="31">
        <f>'[4]Vigas Baldrames '!$N$15</f>
        <v>15.329999999999998</v>
      </c>
      <c r="G48" s="31" t="s">
        <v>596</v>
      </c>
      <c r="I48" s="20">
        <v>15.33</v>
      </c>
      <c r="J48" s="10">
        <f t="shared" si="0"/>
        <v>0</v>
      </c>
    </row>
    <row r="49" spans="1:10" ht="38.25" x14ac:dyDescent="0.2">
      <c r="A49" s="19" t="s">
        <v>144</v>
      </c>
      <c r="B49" s="20" t="s">
        <v>145</v>
      </c>
      <c r="C49" s="19" t="s">
        <v>15</v>
      </c>
      <c r="D49" s="19" t="s">
        <v>146</v>
      </c>
      <c r="E49" s="21" t="s">
        <v>50</v>
      </c>
      <c r="F49" s="31">
        <f>'[4]Vigas Baldrames '!$O$15+[4]Blocos!$M$15</f>
        <v>9.3125</v>
      </c>
      <c r="G49" s="31" t="s">
        <v>597</v>
      </c>
      <c r="I49" s="20">
        <v>9.31</v>
      </c>
      <c r="J49" s="10">
        <f t="shared" si="0"/>
        <v>-2.4999999999995026E-3</v>
      </c>
    </row>
    <row r="50" spans="1:10" ht="38.25" x14ac:dyDescent="0.2">
      <c r="A50" s="19" t="s">
        <v>147</v>
      </c>
      <c r="B50" s="20" t="s">
        <v>148</v>
      </c>
      <c r="C50" s="19" t="s">
        <v>15</v>
      </c>
      <c r="D50" s="19" t="s">
        <v>149</v>
      </c>
      <c r="E50" s="21" t="s">
        <v>50</v>
      </c>
      <c r="F50" s="31">
        <f>'[4]Vigas Baldrames '!$P$15+[4]Blocos!$N$15</f>
        <v>4.2552250000000011</v>
      </c>
      <c r="G50" s="31" t="s">
        <v>597</v>
      </c>
      <c r="I50" s="20">
        <v>4.26</v>
      </c>
      <c r="J50" s="10">
        <f t="shared" si="0"/>
        <v>4.7749999999986414E-3</v>
      </c>
    </row>
    <row r="51" spans="1:10" x14ac:dyDescent="0.2">
      <c r="A51" s="18" t="s">
        <v>6</v>
      </c>
      <c r="B51" s="18"/>
      <c r="C51" s="18"/>
      <c r="D51" s="18" t="s">
        <v>150</v>
      </c>
      <c r="E51" s="18"/>
      <c r="F51" s="29"/>
      <c r="G51" s="28"/>
      <c r="I51" s="39"/>
      <c r="J51" s="10">
        <f t="shared" si="0"/>
        <v>0</v>
      </c>
    </row>
    <row r="52" spans="1:10" ht="25.5" x14ac:dyDescent="0.2">
      <c r="A52" s="19" t="s">
        <v>7</v>
      </c>
      <c r="B52" s="20" t="s">
        <v>152</v>
      </c>
      <c r="C52" s="19" t="s">
        <v>15</v>
      </c>
      <c r="D52" s="19" t="s">
        <v>153</v>
      </c>
      <c r="E52" s="21" t="s">
        <v>5</v>
      </c>
      <c r="F52" s="31">
        <f>[4]Pilar!$H$14+[4]Beiral!$I$13</f>
        <v>67.100999999999999</v>
      </c>
      <c r="G52" s="31" t="s">
        <v>598</v>
      </c>
      <c r="I52" s="20">
        <v>67.099999999999994</v>
      </c>
      <c r="J52" s="10">
        <f t="shared" si="0"/>
        <v>-1.0000000000047748E-3</v>
      </c>
    </row>
    <row r="53" spans="1:10" x14ac:dyDescent="0.2">
      <c r="A53" s="19" t="s">
        <v>151</v>
      </c>
      <c r="B53" s="20" t="s">
        <v>132</v>
      </c>
      <c r="C53" s="19" t="s">
        <v>15</v>
      </c>
      <c r="D53" s="19" t="s">
        <v>133</v>
      </c>
      <c r="E53" s="21" t="s">
        <v>134</v>
      </c>
      <c r="F53" s="38">
        <f>380+69</f>
        <v>449</v>
      </c>
      <c r="G53" s="31" t="s">
        <v>657</v>
      </c>
      <c r="I53" s="20">
        <v>449</v>
      </c>
      <c r="J53" s="10">
        <f t="shared" si="0"/>
        <v>0</v>
      </c>
    </row>
    <row r="54" spans="1:10" ht="25.5" x14ac:dyDescent="0.2">
      <c r="A54" s="19" t="s">
        <v>154</v>
      </c>
      <c r="B54" s="20" t="s">
        <v>136</v>
      </c>
      <c r="C54" s="19" t="s">
        <v>15</v>
      </c>
      <c r="D54" s="19" t="s">
        <v>137</v>
      </c>
      <c r="E54" s="21" t="s">
        <v>50</v>
      </c>
      <c r="F54" s="31">
        <f>[4]Pilar!$G$14+[4]Beiral!$H$13</f>
        <v>7.2188999999999997</v>
      </c>
      <c r="G54" s="31" t="s">
        <v>598</v>
      </c>
      <c r="I54" s="20">
        <v>7.22</v>
      </c>
      <c r="J54" s="10">
        <f t="shared" si="0"/>
        <v>1.1000000000001009E-3</v>
      </c>
    </row>
    <row r="55" spans="1:10" ht="25.5" x14ac:dyDescent="0.2">
      <c r="A55" s="19" t="s">
        <v>155</v>
      </c>
      <c r="B55" s="20" t="s">
        <v>156</v>
      </c>
      <c r="C55" s="19" t="s">
        <v>15</v>
      </c>
      <c r="D55" s="19" t="s">
        <v>157</v>
      </c>
      <c r="E55" s="21" t="s">
        <v>50</v>
      </c>
      <c r="F55" s="31">
        <f>F54</f>
        <v>7.2188999999999997</v>
      </c>
      <c r="G55" s="31" t="s">
        <v>599</v>
      </c>
      <c r="I55" s="20">
        <v>7.22</v>
      </c>
      <c r="J55" s="10">
        <f t="shared" si="0"/>
        <v>1.1000000000001009E-3</v>
      </c>
    </row>
    <row r="56" spans="1:10" ht="25.5" x14ac:dyDescent="0.2">
      <c r="A56" s="19" t="s">
        <v>158</v>
      </c>
      <c r="B56" s="20" t="s">
        <v>159</v>
      </c>
      <c r="C56" s="19" t="s">
        <v>15</v>
      </c>
      <c r="D56" s="19" t="s">
        <v>160</v>
      </c>
      <c r="E56" s="21" t="s">
        <v>5</v>
      </c>
      <c r="F56" s="31">
        <f>[4]Laje!$D$8</f>
        <v>12.375</v>
      </c>
      <c r="G56" s="31" t="s">
        <v>600</v>
      </c>
      <c r="I56" s="20">
        <v>12.38</v>
      </c>
      <c r="J56" s="10">
        <f t="shared" si="0"/>
        <v>5.0000000000007816E-3</v>
      </c>
    </row>
    <row r="57" spans="1:10" x14ac:dyDescent="0.2">
      <c r="A57" s="18" t="s">
        <v>161</v>
      </c>
      <c r="B57" s="18"/>
      <c r="C57" s="18"/>
      <c r="D57" s="18" t="s">
        <v>162</v>
      </c>
      <c r="E57" s="18"/>
      <c r="F57" s="29"/>
      <c r="G57" s="28"/>
      <c r="I57" s="39"/>
      <c r="J57" s="10">
        <f t="shared" si="0"/>
        <v>0</v>
      </c>
    </row>
    <row r="58" spans="1:10" x14ac:dyDescent="0.2">
      <c r="A58" s="18" t="s">
        <v>163</v>
      </c>
      <c r="B58" s="18"/>
      <c r="C58" s="18"/>
      <c r="D58" s="18" t="s">
        <v>162</v>
      </c>
      <c r="E58" s="18"/>
      <c r="F58" s="29"/>
      <c r="G58" s="28"/>
      <c r="I58" s="39"/>
      <c r="J58" s="10">
        <f t="shared" si="0"/>
        <v>0</v>
      </c>
    </row>
    <row r="59" spans="1:10" ht="38.25" x14ac:dyDescent="0.2">
      <c r="A59" s="19" t="s">
        <v>164</v>
      </c>
      <c r="B59" s="20" t="s">
        <v>165</v>
      </c>
      <c r="C59" s="19" t="s">
        <v>15</v>
      </c>
      <c r="D59" s="19" t="s">
        <v>166</v>
      </c>
      <c r="E59" s="21" t="s">
        <v>5</v>
      </c>
      <c r="F59" s="31">
        <f>'[4]Alvenarias e Fechamentos'!$D$8</f>
        <v>109.669</v>
      </c>
      <c r="G59" s="31" t="s">
        <v>601</v>
      </c>
      <c r="I59" s="20">
        <v>109.67</v>
      </c>
      <c r="J59" s="10">
        <f t="shared" si="0"/>
        <v>1.0000000000047748E-3</v>
      </c>
    </row>
    <row r="60" spans="1:10" x14ac:dyDescent="0.2">
      <c r="A60" s="19" t="s">
        <v>167</v>
      </c>
      <c r="B60" s="20" t="s">
        <v>132</v>
      </c>
      <c r="C60" s="19" t="s">
        <v>15</v>
      </c>
      <c r="D60" s="19" t="s">
        <v>133</v>
      </c>
      <c r="E60" s="21" t="s">
        <v>134</v>
      </c>
      <c r="F60" s="38">
        <f>335</f>
        <v>335</v>
      </c>
      <c r="G60" s="31" t="s">
        <v>657</v>
      </c>
      <c r="I60" s="20">
        <v>335</v>
      </c>
      <c r="J60" s="10">
        <f t="shared" si="0"/>
        <v>0</v>
      </c>
    </row>
    <row r="61" spans="1:10" ht="25.5" x14ac:dyDescent="0.2">
      <c r="A61" s="19" t="s">
        <v>168</v>
      </c>
      <c r="B61" s="20" t="s">
        <v>169</v>
      </c>
      <c r="C61" s="19" t="s">
        <v>15</v>
      </c>
      <c r="D61" s="19" t="s">
        <v>170</v>
      </c>
      <c r="E61" s="21" t="s">
        <v>50</v>
      </c>
      <c r="F61" s="31">
        <f>[4]Grout!$F$14</f>
        <v>2.6818739999999996</v>
      </c>
      <c r="G61" s="31" t="s">
        <v>602</v>
      </c>
      <c r="I61" s="20">
        <v>2.68</v>
      </c>
      <c r="J61" s="10">
        <f t="shared" si="0"/>
        <v>-1.8739999999994872E-3</v>
      </c>
    </row>
    <row r="62" spans="1:10" x14ac:dyDescent="0.2">
      <c r="A62" s="18" t="s">
        <v>171</v>
      </c>
      <c r="B62" s="18"/>
      <c r="C62" s="18"/>
      <c r="D62" s="18" t="s">
        <v>172</v>
      </c>
      <c r="E62" s="18"/>
      <c r="F62" s="29"/>
      <c r="G62" s="28"/>
      <c r="I62" s="39"/>
      <c r="J62" s="10">
        <f t="shared" si="0"/>
        <v>0</v>
      </c>
    </row>
    <row r="63" spans="1:10" ht="25.5" x14ac:dyDescent="0.2">
      <c r="A63" s="19" t="s">
        <v>173</v>
      </c>
      <c r="B63" s="20" t="s">
        <v>174</v>
      </c>
      <c r="C63" s="19" t="s">
        <v>15</v>
      </c>
      <c r="D63" s="19" t="s">
        <v>175</v>
      </c>
      <c r="E63" s="21" t="s">
        <v>5</v>
      </c>
      <c r="F63" s="31">
        <f>[4]Esquadrias!$N$11</f>
        <v>0.36</v>
      </c>
      <c r="G63" s="31" t="s">
        <v>603</v>
      </c>
      <c r="I63" s="20">
        <v>0.36</v>
      </c>
      <c r="J63" s="10">
        <f t="shared" si="0"/>
        <v>0</v>
      </c>
    </row>
    <row r="64" spans="1:10" ht="25.5" x14ac:dyDescent="0.2">
      <c r="A64" s="19" t="s">
        <v>176</v>
      </c>
      <c r="B64" s="20" t="s">
        <v>177</v>
      </c>
      <c r="C64" s="19" t="s">
        <v>15</v>
      </c>
      <c r="D64" s="19" t="s">
        <v>178</v>
      </c>
      <c r="E64" s="21" t="s">
        <v>5</v>
      </c>
      <c r="F64" s="31">
        <f>[4]Esquadrias!$N$13</f>
        <v>1.9</v>
      </c>
      <c r="G64" s="31" t="s">
        <v>603</v>
      </c>
      <c r="I64" s="20">
        <v>1.9</v>
      </c>
      <c r="J64" s="10">
        <f t="shared" si="0"/>
        <v>0</v>
      </c>
    </row>
    <row r="65" spans="1:10" ht="25.5" x14ac:dyDescent="0.2">
      <c r="A65" s="19" t="s">
        <v>179</v>
      </c>
      <c r="B65" s="20" t="s">
        <v>180</v>
      </c>
      <c r="C65" s="19" t="s">
        <v>15</v>
      </c>
      <c r="D65" s="19" t="s">
        <v>181</v>
      </c>
      <c r="E65" s="21" t="s">
        <v>5</v>
      </c>
      <c r="F65" s="31">
        <f>[4]Esquadrias!$N$12</f>
        <v>2.4</v>
      </c>
      <c r="G65" s="31" t="s">
        <v>603</v>
      </c>
      <c r="I65" s="20">
        <v>2.4</v>
      </c>
      <c r="J65" s="10">
        <f t="shared" si="0"/>
        <v>0</v>
      </c>
    </row>
    <row r="66" spans="1:10" ht="25.5" x14ac:dyDescent="0.2">
      <c r="A66" s="19" t="s">
        <v>182</v>
      </c>
      <c r="B66" s="20" t="s">
        <v>183</v>
      </c>
      <c r="C66" s="19" t="s">
        <v>15</v>
      </c>
      <c r="D66" s="19" t="s">
        <v>184</v>
      </c>
      <c r="E66" s="21" t="s">
        <v>5</v>
      </c>
      <c r="F66" s="31">
        <f>[4]Esquadrias!$E$14</f>
        <v>2.76</v>
      </c>
      <c r="G66" s="31" t="s">
        <v>603</v>
      </c>
      <c r="I66" s="20">
        <v>2.76</v>
      </c>
      <c r="J66" s="10">
        <f t="shared" si="0"/>
        <v>0</v>
      </c>
    </row>
    <row r="67" spans="1:10" ht="25.5" x14ac:dyDescent="0.2">
      <c r="A67" s="19" t="s">
        <v>185</v>
      </c>
      <c r="B67" s="20" t="s">
        <v>186</v>
      </c>
      <c r="C67" s="19" t="s">
        <v>15</v>
      </c>
      <c r="D67" s="19" t="s">
        <v>187</v>
      </c>
      <c r="E67" s="21" t="s">
        <v>5</v>
      </c>
      <c r="F67" s="31">
        <f>[4]Esquadrias!$E$15</f>
        <v>1.9</v>
      </c>
      <c r="G67" s="31" t="s">
        <v>603</v>
      </c>
      <c r="I67" s="20">
        <v>1.9</v>
      </c>
      <c r="J67" s="10">
        <f t="shared" si="0"/>
        <v>0</v>
      </c>
    </row>
    <row r="68" spans="1:10" x14ac:dyDescent="0.2">
      <c r="A68" s="19" t="s">
        <v>188</v>
      </c>
      <c r="B68" s="20" t="s">
        <v>189</v>
      </c>
      <c r="C68" s="19" t="s">
        <v>15</v>
      </c>
      <c r="D68" s="19" t="s">
        <v>190</v>
      </c>
      <c r="E68" s="21" t="s">
        <v>5</v>
      </c>
      <c r="F68" s="31">
        <f>F66+F67</f>
        <v>4.66</v>
      </c>
      <c r="G68" s="31" t="s">
        <v>604</v>
      </c>
      <c r="I68" s="20">
        <v>4.66</v>
      </c>
      <c r="J68" s="10">
        <f t="shared" si="0"/>
        <v>0</v>
      </c>
    </row>
    <row r="69" spans="1:10" ht="25.5" x14ac:dyDescent="0.2">
      <c r="A69" s="19" t="s">
        <v>191</v>
      </c>
      <c r="B69" s="20" t="s">
        <v>192</v>
      </c>
      <c r="C69" s="19" t="s">
        <v>193</v>
      </c>
      <c r="D69" s="19" t="s">
        <v>194</v>
      </c>
      <c r="E69" s="21" t="s">
        <v>195</v>
      </c>
      <c r="F69" s="31">
        <f>5.5*2.2*2</f>
        <v>24.200000000000003</v>
      </c>
      <c r="G69" s="31" t="s">
        <v>605</v>
      </c>
      <c r="I69" s="20">
        <v>24.2</v>
      </c>
      <c r="J69" s="10">
        <f t="shared" si="0"/>
        <v>0</v>
      </c>
    </row>
    <row r="70" spans="1:10" ht="25.5" x14ac:dyDescent="0.2">
      <c r="A70" s="19" t="s">
        <v>660</v>
      </c>
      <c r="B70" s="20" t="s">
        <v>673</v>
      </c>
      <c r="C70" s="19" t="s">
        <v>15</v>
      </c>
      <c r="D70" s="19" t="s">
        <v>674</v>
      </c>
      <c r="E70" s="21" t="s">
        <v>32</v>
      </c>
      <c r="F70" s="31">
        <f>[4]Esquadrias!$K$9</f>
        <v>1</v>
      </c>
      <c r="G70" s="31" t="s">
        <v>603</v>
      </c>
      <c r="I70" s="20">
        <v>1</v>
      </c>
      <c r="J70" s="10">
        <f t="shared" si="0"/>
        <v>0</v>
      </c>
    </row>
    <row r="71" spans="1:10" ht="25.5" x14ac:dyDescent="0.2">
      <c r="A71" s="19" t="s">
        <v>661</v>
      </c>
      <c r="B71" s="20" t="s">
        <v>675</v>
      </c>
      <c r="C71" s="19" t="s">
        <v>15</v>
      </c>
      <c r="D71" s="19" t="s">
        <v>676</v>
      </c>
      <c r="E71" s="21" t="s">
        <v>5</v>
      </c>
      <c r="F71" s="31">
        <f>[4]Esquadrias!$N$8</f>
        <v>1.722</v>
      </c>
      <c r="G71" s="31" t="s">
        <v>603</v>
      </c>
      <c r="I71" s="20">
        <v>1.72</v>
      </c>
      <c r="J71" s="10">
        <f t="shared" si="0"/>
        <v>-2.0000000000000018E-3</v>
      </c>
    </row>
    <row r="72" spans="1:10" x14ac:dyDescent="0.2">
      <c r="A72" s="18" t="s">
        <v>196</v>
      </c>
      <c r="B72" s="18"/>
      <c r="C72" s="18"/>
      <c r="D72" s="18" t="s">
        <v>197</v>
      </c>
      <c r="E72" s="18"/>
      <c r="F72" s="29"/>
      <c r="G72" s="28"/>
      <c r="I72" s="39"/>
      <c r="J72" s="10">
        <f t="shared" si="0"/>
        <v>0</v>
      </c>
    </row>
    <row r="73" spans="1:10" ht="38.25" x14ac:dyDescent="0.2">
      <c r="A73" s="19" t="s">
        <v>198</v>
      </c>
      <c r="B73" s="20" t="s">
        <v>199</v>
      </c>
      <c r="C73" s="19" t="s">
        <v>15</v>
      </c>
      <c r="D73" s="19" t="s">
        <v>200</v>
      </c>
      <c r="E73" s="21" t="s">
        <v>134</v>
      </c>
      <c r="F73" s="31">
        <f>(370.8+190.2+214.7+986.5)+1860</f>
        <v>3622.2</v>
      </c>
      <c r="G73" s="31" t="s">
        <v>606</v>
      </c>
      <c r="I73" s="20">
        <v>3622.2</v>
      </c>
      <c r="J73" s="10">
        <f t="shared" ref="J73:J136" si="1">I73-F73</f>
        <v>0</v>
      </c>
    </row>
    <row r="74" spans="1:10" ht="25.5" x14ac:dyDescent="0.2">
      <c r="A74" s="19" t="s">
        <v>201</v>
      </c>
      <c r="B74" s="20" t="s">
        <v>202</v>
      </c>
      <c r="C74" s="19" t="s">
        <v>15</v>
      </c>
      <c r="D74" s="19" t="s">
        <v>203</v>
      </c>
      <c r="E74" s="21" t="s">
        <v>5</v>
      </c>
      <c r="F74" s="31">
        <f>[4]Coberturas!$D$20</f>
        <v>102.81</v>
      </c>
      <c r="G74" s="31" t="s">
        <v>607</v>
      </c>
      <c r="I74" s="20">
        <v>102.81</v>
      </c>
      <c r="J74" s="10">
        <f t="shared" si="1"/>
        <v>0</v>
      </c>
    </row>
    <row r="75" spans="1:10" ht="25.5" x14ac:dyDescent="0.2">
      <c r="A75" s="19" t="s">
        <v>204</v>
      </c>
      <c r="B75" s="20" t="s">
        <v>205</v>
      </c>
      <c r="C75" s="19" t="s">
        <v>15</v>
      </c>
      <c r="D75" s="19" t="s">
        <v>206</v>
      </c>
      <c r="E75" s="21" t="s">
        <v>78</v>
      </c>
      <c r="F75" s="31">
        <f>[4]Coberturas!$I$10</f>
        <v>42.500000000000007</v>
      </c>
      <c r="G75" s="31" t="s">
        <v>607</v>
      </c>
      <c r="I75" s="20">
        <v>42.5</v>
      </c>
      <c r="J75" s="10">
        <f t="shared" si="1"/>
        <v>0</v>
      </c>
    </row>
    <row r="76" spans="1:10" ht="25.5" x14ac:dyDescent="0.2">
      <c r="A76" s="19" t="s">
        <v>207</v>
      </c>
      <c r="B76" s="20" t="s">
        <v>677</v>
      </c>
      <c r="C76" s="19" t="s">
        <v>15</v>
      </c>
      <c r="D76" s="19" t="s">
        <v>678</v>
      </c>
      <c r="E76" s="21" t="s">
        <v>78</v>
      </c>
      <c r="F76" s="31">
        <f>[4]Coberturas!$H$10</f>
        <v>13.8</v>
      </c>
      <c r="G76" s="31" t="s">
        <v>607</v>
      </c>
      <c r="I76" s="20">
        <v>13.8</v>
      </c>
      <c r="J76" s="10">
        <f t="shared" si="1"/>
        <v>0</v>
      </c>
    </row>
    <row r="77" spans="1:10" ht="25.5" x14ac:dyDescent="0.2">
      <c r="A77" s="19" t="s">
        <v>662</v>
      </c>
      <c r="B77" s="20" t="s">
        <v>208</v>
      </c>
      <c r="C77" s="19" t="s">
        <v>15</v>
      </c>
      <c r="D77" s="19" t="s">
        <v>209</v>
      </c>
      <c r="E77" s="21" t="s">
        <v>5</v>
      </c>
      <c r="F77" s="31">
        <f>(13.8+7.45+13.8+7.45)*0.7</f>
        <v>29.749999999999996</v>
      </c>
      <c r="G77" s="31" t="s">
        <v>770</v>
      </c>
      <c r="I77" s="20">
        <v>29.75</v>
      </c>
      <c r="J77" s="10">
        <f t="shared" si="1"/>
        <v>0</v>
      </c>
    </row>
    <row r="78" spans="1:10" ht="25.5" x14ac:dyDescent="0.2">
      <c r="A78" s="19" t="s">
        <v>775</v>
      </c>
      <c r="B78" s="20" t="s">
        <v>776</v>
      </c>
      <c r="C78" s="19" t="s">
        <v>15</v>
      </c>
      <c r="D78" s="19" t="s">
        <v>777</v>
      </c>
      <c r="E78" s="21" t="s">
        <v>5</v>
      </c>
      <c r="F78" s="31">
        <f>[4]Acabamentos!$D$121</f>
        <v>89</v>
      </c>
      <c r="G78" s="31" t="s">
        <v>627</v>
      </c>
      <c r="I78" s="20">
        <v>89</v>
      </c>
      <c r="J78" s="10">
        <f t="shared" si="1"/>
        <v>0</v>
      </c>
    </row>
    <row r="79" spans="1:10" x14ac:dyDescent="0.2">
      <c r="A79" s="18" t="s">
        <v>210</v>
      </c>
      <c r="B79" s="18"/>
      <c r="C79" s="18"/>
      <c r="D79" s="18" t="s">
        <v>211</v>
      </c>
      <c r="E79" s="18"/>
      <c r="F79" s="29"/>
      <c r="G79" s="28"/>
      <c r="I79" s="39"/>
      <c r="J79" s="10">
        <f t="shared" si="1"/>
        <v>0</v>
      </c>
    </row>
    <row r="80" spans="1:10" x14ac:dyDescent="0.2">
      <c r="A80" s="18" t="s">
        <v>212</v>
      </c>
      <c r="B80" s="18"/>
      <c r="C80" s="18"/>
      <c r="D80" s="18" t="s">
        <v>213</v>
      </c>
      <c r="E80" s="18"/>
      <c r="F80" s="29"/>
      <c r="G80" s="28"/>
      <c r="I80" s="39"/>
      <c r="J80" s="10">
        <f t="shared" si="1"/>
        <v>0</v>
      </c>
    </row>
    <row r="81" spans="1:10" x14ac:dyDescent="0.2">
      <c r="A81" s="19" t="s">
        <v>214</v>
      </c>
      <c r="B81" s="20" t="s">
        <v>215</v>
      </c>
      <c r="C81" s="19" t="s">
        <v>15</v>
      </c>
      <c r="D81" s="19" t="s">
        <v>216</v>
      </c>
      <c r="E81" s="21" t="s">
        <v>78</v>
      </c>
      <c r="F81" s="31">
        <v>2</v>
      </c>
      <c r="G81" s="32" t="s">
        <v>641</v>
      </c>
      <c r="I81" s="20">
        <v>2</v>
      </c>
      <c r="J81" s="10">
        <f t="shared" si="1"/>
        <v>0</v>
      </c>
    </row>
    <row r="82" spans="1:10" ht="25.5" x14ac:dyDescent="0.2">
      <c r="A82" s="19" t="s">
        <v>217</v>
      </c>
      <c r="B82" s="20" t="s">
        <v>218</v>
      </c>
      <c r="C82" s="19" t="s">
        <v>15</v>
      </c>
      <c r="D82" s="19" t="s">
        <v>219</v>
      </c>
      <c r="E82" s="21" t="s">
        <v>78</v>
      </c>
      <c r="F82" s="31">
        <v>2</v>
      </c>
      <c r="G82" s="32" t="s">
        <v>641</v>
      </c>
      <c r="I82" s="20">
        <v>2</v>
      </c>
      <c r="J82" s="10">
        <f t="shared" si="1"/>
        <v>0</v>
      </c>
    </row>
    <row r="83" spans="1:10" ht="25.5" x14ac:dyDescent="0.2">
      <c r="A83" s="19" t="s">
        <v>220</v>
      </c>
      <c r="B83" s="20" t="s">
        <v>221</v>
      </c>
      <c r="C83" s="19" t="s">
        <v>15</v>
      </c>
      <c r="D83" s="19" t="s">
        <v>222</v>
      </c>
      <c r="E83" s="21" t="s">
        <v>78</v>
      </c>
      <c r="F83" s="31">
        <v>20</v>
      </c>
      <c r="G83" s="32" t="s">
        <v>641</v>
      </c>
      <c r="I83" s="20">
        <v>20</v>
      </c>
      <c r="J83" s="10">
        <f t="shared" si="1"/>
        <v>0</v>
      </c>
    </row>
    <row r="84" spans="1:10" x14ac:dyDescent="0.2">
      <c r="A84" s="19" t="s">
        <v>223</v>
      </c>
      <c r="B84" s="20" t="s">
        <v>224</v>
      </c>
      <c r="C84" s="19" t="s">
        <v>15</v>
      </c>
      <c r="D84" s="19" t="s">
        <v>225</v>
      </c>
      <c r="E84" s="21" t="s">
        <v>32</v>
      </c>
      <c r="F84" s="33">
        <v>4</v>
      </c>
      <c r="G84" s="32" t="s">
        <v>641</v>
      </c>
      <c r="I84" s="20">
        <v>4</v>
      </c>
      <c r="J84" s="10">
        <f t="shared" si="1"/>
        <v>0</v>
      </c>
    </row>
    <row r="85" spans="1:10" x14ac:dyDescent="0.2">
      <c r="A85" s="19" t="s">
        <v>226</v>
      </c>
      <c r="B85" s="20" t="s">
        <v>227</v>
      </c>
      <c r="C85" s="19" t="s">
        <v>15</v>
      </c>
      <c r="D85" s="19" t="s">
        <v>228</v>
      </c>
      <c r="E85" s="21" t="s">
        <v>32</v>
      </c>
      <c r="F85" s="31">
        <v>1</v>
      </c>
      <c r="G85" s="32" t="s">
        <v>640</v>
      </c>
      <c r="I85" s="20">
        <v>1</v>
      </c>
      <c r="J85" s="10">
        <f t="shared" si="1"/>
        <v>0</v>
      </c>
    </row>
    <row r="86" spans="1:10" x14ac:dyDescent="0.2">
      <c r="A86" s="19" t="s">
        <v>229</v>
      </c>
      <c r="B86" s="20" t="s">
        <v>230</v>
      </c>
      <c r="C86" s="19" t="s">
        <v>15</v>
      </c>
      <c r="D86" s="19" t="s">
        <v>231</v>
      </c>
      <c r="E86" s="21" t="s">
        <v>32</v>
      </c>
      <c r="F86" s="33">
        <v>2</v>
      </c>
      <c r="G86" s="32"/>
      <c r="I86" s="20">
        <v>2</v>
      </c>
      <c r="J86" s="10">
        <f t="shared" si="1"/>
        <v>0</v>
      </c>
    </row>
    <row r="87" spans="1:10" x14ac:dyDescent="0.2">
      <c r="A87" s="19" t="s">
        <v>232</v>
      </c>
      <c r="B87" s="20" t="s">
        <v>233</v>
      </c>
      <c r="C87" s="19" t="s">
        <v>15</v>
      </c>
      <c r="D87" s="19" t="s">
        <v>234</v>
      </c>
      <c r="E87" s="21" t="s">
        <v>32</v>
      </c>
      <c r="F87" s="31">
        <v>2</v>
      </c>
      <c r="G87" s="32" t="s">
        <v>640</v>
      </c>
      <c r="I87" s="20">
        <v>2</v>
      </c>
      <c r="J87" s="10">
        <f t="shared" si="1"/>
        <v>0</v>
      </c>
    </row>
    <row r="88" spans="1:10" x14ac:dyDescent="0.2">
      <c r="A88" s="19" t="s">
        <v>235</v>
      </c>
      <c r="B88" s="20" t="s">
        <v>236</v>
      </c>
      <c r="C88" s="19" t="s">
        <v>15</v>
      </c>
      <c r="D88" s="19" t="s">
        <v>237</v>
      </c>
      <c r="E88" s="21" t="s">
        <v>32</v>
      </c>
      <c r="F88" s="31">
        <v>1</v>
      </c>
      <c r="G88" s="32" t="s">
        <v>640</v>
      </c>
      <c r="I88" s="20">
        <v>1</v>
      </c>
      <c r="J88" s="10">
        <f t="shared" si="1"/>
        <v>0</v>
      </c>
    </row>
    <row r="89" spans="1:10" x14ac:dyDescent="0.2">
      <c r="A89" s="19" t="s">
        <v>238</v>
      </c>
      <c r="B89" s="20" t="s">
        <v>239</v>
      </c>
      <c r="C89" s="19" t="s">
        <v>240</v>
      </c>
      <c r="D89" s="19" t="s">
        <v>241</v>
      </c>
      <c r="E89" s="21" t="s">
        <v>32</v>
      </c>
      <c r="F89" s="31">
        <v>1</v>
      </c>
      <c r="G89" s="32" t="s">
        <v>640</v>
      </c>
      <c r="I89" s="20">
        <v>1</v>
      </c>
      <c r="J89" s="10">
        <f t="shared" si="1"/>
        <v>0</v>
      </c>
    </row>
    <row r="90" spans="1:10" x14ac:dyDescent="0.2">
      <c r="A90" s="18" t="s">
        <v>242</v>
      </c>
      <c r="B90" s="18"/>
      <c r="C90" s="18"/>
      <c r="D90" s="18" t="s">
        <v>243</v>
      </c>
      <c r="E90" s="18"/>
      <c r="F90" s="29"/>
      <c r="G90" s="28"/>
      <c r="I90" s="39"/>
      <c r="J90" s="10">
        <f t="shared" si="1"/>
        <v>0</v>
      </c>
    </row>
    <row r="91" spans="1:10" x14ac:dyDescent="0.2">
      <c r="A91" s="19" t="s">
        <v>244</v>
      </c>
      <c r="B91" s="20" t="s">
        <v>245</v>
      </c>
      <c r="C91" s="19" t="s">
        <v>15</v>
      </c>
      <c r="D91" s="19" t="s">
        <v>246</v>
      </c>
      <c r="E91" s="21" t="s">
        <v>32</v>
      </c>
      <c r="F91" s="33">
        <v>2</v>
      </c>
      <c r="G91" s="32"/>
      <c r="I91" s="20">
        <v>2</v>
      </c>
      <c r="J91" s="10">
        <f t="shared" si="1"/>
        <v>0</v>
      </c>
    </row>
    <row r="92" spans="1:10" x14ac:dyDescent="0.2">
      <c r="A92" s="19" t="s">
        <v>247</v>
      </c>
      <c r="B92" s="20" t="s">
        <v>248</v>
      </c>
      <c r="C92" s="19" t="s">
        <v>15</v>
      </c>
      <c r="D92" s="19" t="s">
        <v>249</v>
      </c>
      <c r="E92" s="21" t="s">
        <v>78</v>
      </c>
      <c r="F92" s="38">
        <v>30</v>
      </c>
      <c r="G92" s="32" t="s">
        <v>641</v>
      </c>
      <c r="I92" s="20">
        <v>30</v>
      </c>
      <c r="J92" s="10">
        <f t="shared" si="1"/>
        <v>0</v>
      </c>
    </row>
    <row r="93" spans="1:10" x14ac:dyDescent="0.2">
      <c r="A93" s="19" t="s">
        <v>250</v>
      </c>
      <c r="B93" s="20" t="s">
        <v>251</v>
      </c>
      <c r="C93" s="19" t="s">
        <v>15</v>
      </c>
      <c r="D93" s="19" t="s">
        <v>252</v>
      </c>
      <c r="E93" s="21" t="s">
        <v>78</v>
      </c>
      <c r="F93" s="38">
        <v>5</v>
      </c>
      <c r="G93" s="32" t="s">
        <v>641</v>
      </c>
      <c r="I93" s="20">
        <v>5</v>
      </c>
      <c r="J93" s="10">
        <f t="shared" si="1"/>
        <v>0</v>
      </c>
    </row>
    <row r="94" spans="1:10" x14ac:dyDescent="0.2">
      <c r="A94" s="19" t="s">
        <v>253</v>
      </c>
      <c r="B94" s="20" t="s">
        <v>679</v>
      </c>
      <c r="C94" s="19" t="s">
        <v>15</v>
      </c>
      <c r="D94" s="19" t="s">
        <v>680</v>
      </c>
      <c r="E94" s="21" t="s">
        <v>32</v>
      </c>
      <c r="F94" s="38">
        <v>1</v>
      </c>
      <c r="G94" s="32" t="s">
        <v>640</v>
      </c>
      <c r="I94" s="20">
        <v>1</v>
      </c>
      <c r="J94" s="10">
        <f t="shared" si="1"/>
        <v>0</v>
      </c>
    </row>
    <row r="95" spans="1:10" ht="25.5" x14ac:dyDescent="0.2">
      <c r="A95" s="19" t="s">
        <v>254</v>
      </c>
      <c r="B95" s="20" t="s">
        <v>255</v>
      </c>
      <c r="C95" s="19" t="s">
        <v>15</v>
      </c>
      <c r="D95" s="19" t="s">
        <v>256</v>
      </c>
      <c r="E95" s="21" t="s">
        <v>32</v>
      </c>
      <c r="F95" s="33">
        <v>1</v>
      </c>
      <c r="G95" s="32"/>
      <c r="I95" s="20">
        <v>1</v>
      </c>
      <c r="J95" s="10">
        <f t="shared" si="1"/>
        <v>0</v>
      </c>
    </row>
    <row r="96" spans="1:10" x14ac:dyDescent="0.2">
      <c r="A96" s="19" t="s">
        <v>257</v>
      </c>
      <c r="B96" s="20" t="s">
        <v>258</v>
      </c>
      <c r="C96" s="19" t="s">
        <v>15</v>
      </c>
      <c r="D96" s="19" t="s">
        <v>259</v>
      </c>
      <c r="E96" s="21" t="s">
        <v>78</v>
      </c>
      <c r="F96" s="33">
        <v>65</v>
      </c>
      <c r="G96" s="32"/>
      <c r="I96" s="20">
        <v>65</v>
      </c>
      <c r="J96" s="10">
        <f t="shared" si="1"/>
        <v>0</v>
      </c>
    </row>
    <row r="97" spans="1:10" x14ac:dyDescent="0.2">
      <c r="A97" s="19" t="s">
        <v>260</v>
      </c>
      <c r="B97" s="20" t="s">
        <v>261</v>
      </c>
      <c r="C97" s="19" t="s">
        <v>15</v>
      </c>
      <c r="D97" s="19" t="s">
        <v>262</v>
      </c>
      <c r="E97" s="21" t="s">
        <v>32</v>
      </c>
      <c r="F97" s="33">
        <v>2</v>
      </c>
      <c r="G97" s="32"/>
      <c r="I97" s="20">
        <v>2</v>
      </c>
      <c r="J97" s="10">
        <f t="shared" si="1"/>
        <v>0</v>
      </c>
    </row>
    <row r="98" spans="1:10" x14ac:dyDescent="0.2">
      <c r="A98" s="19" t="s">
        <v>263</v>
      </c>
      <c r="B98" s="20" t="s">
        <v>264</v>
      </c>
      <c r="C98" s="19" t="s">
        <v>15</v>
      </c>
      <c r="D98" s="19" t="s">
        <v>265</v>
      </c>
      <c r="E98" s="21" t="s">
        <v>32</v>
      </c>
      <c r="F98" s="38">
        <v>1</v>
      </c>
      <c r="G98" s="32" t="s">
        <v>640</v>
      </c>
      <c r="I98" s="20">
        <v>1</v>
      </c>
      <c r="J98" s="10">
        <f t="shared" si="1"/>
        <v>0</v>
      </c>
    </row>
    <row r="99" spans="1:10" x14ac:dyDescent="0.2">
      <c r="A99" s="18" t="s">
        <v>266</v>
      </c>
      <c r="B99" s="18"/>
      <c r="C99" s="18"/>
      <c r="D99" s="18" t="s">
        <v>267</v>
      </c>
      <c r="E99" s="18"/>
      <c r="F99" s="29"/>
      <c r="G99" s="28"/>
      <c r="I99" s="39"/>
      <c r="J99" s="10">
        <f t="shared" si="1"/>
        <v>0</v>
      </c>
    </row>
    <row r="100" spans="1:10" ht="25.5" x14ac:dyDescent="0.2">
      <c r="A100" s="19" t="s">
        <v>268</v>
      </c>
      <c r="B100" s="20" t="s">
        <v>271</v>
      </c>
      <c r="C100" s="19" t="s">
        <v>15</v>
      </c>
      <c r="D100" s="19" t="s">
        <v>272</v>
      </c>
      <c r="E100" s="21" t="s">
        <v>78</v>
      </c>
      <c r="F100" s="38">
        <v>6</v>
      </c>
      <c r="G100" s="32" t="s">
        <v>640</v>
      </c>
      <c r="I100" s="20">
        <v>6</v>
      </c>
      <c r="J100" s="10">
        <f t="shared" si="1"/>
        <v>0</v>
      </c>
    </row>
    <row r="101" spans="1:10" ht="25.5" x14ac:dyDescent="0.2">
      <c r="A101" s="19" t="s">
        <v>269</v>
      </c>
      <c r="B101" s="20" t="s">
        <v>273</v>
      </c>
      <c r="C101" s="19" t="s">
        <v>31</v>
      </c>
      <c r="D101" s="19" t="s">
        <v>274</v>
      </c>
      <c r="E101" s="21" t="s">
        <v>32</v>
      </c>
      <c r="F101" s="33">
        <v>2</v>
      </c>
      <c r="G101" s="32"/>
      <c r="I101" s="20">
        <v>2</v>
      </c>
      <c r="J101" s="10">
        <f t="shared" si="1"/>
        <v>0</v>
      </c>
    </row>
    <row r="102" spans="1:10" x14ac:dyDescent="0.2">
      <c r="A102" s="18" t="s">
        <v>270</v>
      </c>
      <c r="B102" s="18"/>
      <c r="C102" s="18"/>
      <c r="D102" s="18" t="s">
        <v>608</v>
      </c>
      <c r="E102" s="18"/>
      <c r="F102" s="102"/>
      <c r="G102" s="34"/>
      <c r="I102" s="39"/>
      <c r="J102" s="10">
        <f t="shared" si="1"/>
        <v>0</v>
      </c>
    </row>
    <row r="103" spans="1:10" ht="25.5" x14ac:dyDescent="0.2">
      <c r="A103" s="19" t="s">
        <v>666</v>
      </c>
      <c r="B103" s="20" t="s">
        <v>609</v>
      </c>
      <c r="C103" s="19" t="s">
        <v>31</v>
      </c>
      <c r="D103" s="19" t="s">
        <v>610</v>
      </c>
      <c r="E103" s="21" t="s">
        <v>50</v>
      </c>
      <c r="F103" s="103">
        <f>3.7*0.05</f>
        <v>0.18500000000000003</v>
      </c>
      <c r="G103" s="35" t="s">
        <v>617</v>
      </c>
      <c r="I103" s="20">
        <v>0.19</v>
      </c>
      <c r="J103" s="10">
        <f t="shared" si="1"/>
        <v>4.9999999999999767E-3</v>
      </c>
    </row>
    <row r="104" spans="1:10" ht="51" x14ac:dyDescent="0.2">
      <c r="A104" s="19" t="s">
        <v>667</v>
      </c>
      <c r="B104" s="20" t="s">
        <v>611</v>
      </c>
      <c r="C104" s="19" t="s">
        <v>31</v>
      </c>
      <c r="D104" s="19" t="s">
        <v>681</v>
      </c>
      <c r="E104" s="21" t="s">
        <v>5</v>
      </c>
      <c r="F104" s="103">
        <f>(9.6*0.06)+(8.65*0.06)</f>
        <v>1.095</v>
      </c>
      <c r="G104" s="36" t="s">
        <v>616</v>
      </c>
      <c r="I104" s="20">
        <v>1.1000000000000001</v>
      </c>
      <c r="J104" s="10">
        <f t="shared" si="1"/>
        <v>5.0000000000001155E-3</v>
      </c>
    </row>
    <row r="105" spans="1:10" ht="25.5" x14ac:dyDescent="0.2">
      <c r="A105" s="19" t="s">
        <v>668</v>
      </c>
      <c r="B105" s="20" t="s">
        <v>132</v>
      </c>
      <c r="C105" s="19" t="s">
        <v>15</v>
      </c>
      <c r="D105" s="19" t="s">
        <v>133</v>
      </c>
      <c r="E105" s="21" t="s">
        <v>134</v>
      </c>
      <c r="F105" s="103">
        <f>(3.7+4.6)*2.2</f>
        <v>18.260000000000002</v>
      </c>
      <c r="G105" s="35" t="s">
        <v>618</v>
      </c>
      <c r="I105" s="20">
        <v>18.260000000000002</v>
      </c>
      <c r="J105" s="10">
        <f t="shared" si="1"/>
        <v>0</v>
      </c>
    </row>
    <row r="106" spans="1:10" ht="25.5" x14ac:dyDescent="0.2">
      <c r="A106" s="19" t="s">
        <v>669</v>
      </c>
      <c r="B106" s="20" t="s">
        <v>682</v>
      </c>
      <c r="C106" s="19" t="s">
        <v>31</v>
      </c>
      <c r="D106" s="19" t="s">
        <v>612</v>
      </c>
      <c r="E106" s="21" t="s">
        <v>50</v>
      </c>
      <c r="F106" s="103">
        <f>((3.7+4.6)*0.06)</f>
        <v>0.498</v>
      </c>
      <c r="G106" s="35" t="s">
        <v>619</v>
      </c>
      <c r="I106" s="20">
        <v>0.5</v>
      </c>
      <c r="J106" s="10">
        <f t="shared" si="1"/>
        <v>2.0000000000000018E-3</v>
      </c>
    </row>
    <row r="107" spans="1:10" ht="25.5" x14ac:dyDescent="0.2">
      <c r="A107" s="19" t="s">
        <v>670</v>
      </c>
      <c r="B107" s="20" t="s">
        <v>683</v>
      </c>
      <c r="C107" s="19" t="s">
        <v>31</v>
      </c>
      <c r="D107" s="19" t="s">
        <v>613</v>
      </c>
      <c r="E107" s="21" t="s">
        <v>50</v>
      </c>
      <c r="F107" s="103">
        <f>F106</f>
        <v>0.498</v>
      </c>
      <c r="G107" s="35" t="s">
        <v>620</v>
      </c>
      <c r="I107" s="20">
        <v>0.5</v>
      </c>
      <c r="J107" s="10">
        <f t="shared" si="1"/>
        <v>2.0000000000000018E-3</v>
      </c>
    </row>
    <row r="108" spans="1:10" ht="25.5" x14ac:dyDescent="0.2">
      <c r="A108" s="19" t="s">
        <v>671</v>
      </c>
      <c r="B108" s="20" t="s">
        <v>614</v>
      </c>
      <c r="C108" s="19" t="s">
        <v>15</v>
      </c>
      <c r="D108" s="19" t="s">
        <v>615</v>
      </c>
      <c r="E108" s="21" t="s">
        <v>5</v>
      </c>
      <c r="F108" s="103">
        <f>2.65*0.2*0.09*2</f>
        <v>9.5399999999999999E-2</v>
      </c>
      <c r="G108" s="35" t="s">
        <v>621</v>
      </c>
      <c r="I108" s="20">
        <v>0.1</v>
      </c>
      <c r="J108" s="10">
        <f t="shared" si="1"/>
        <v>4.6000000000000069E-3</v>
      </c>
    </row>
    <row r="109" spans="1:10" x14ac:dyDescent="0.2">
      <c r="A109" s="18" t="s">
        <v>276</v>
      </c>
      <c r="B109" s="18"/>
      <c r="C109" s="18"/>
      <c r="D109" s="18" t="s">
        <v>277</v>
      </c>
      <c r="E109" s="18"/>
      <c r="F109" s="29"/>
      <c r="G109" s="28"/>
      <c r="I109" s="39"/>
      <c r="J109" s="10">
        <f t="shared" si="1"/>
        <v>0</v>
      </c>
    </row>
    <row r="110" spans="1:10" x14ac:dyDescent="0.2">
      <c r="A110" s="19" t="s">
        <v>278</v>
      </c>
      <c r="B110" s="20" t="s">
        <v>279</v>
      </c>
      <c r="C110" s="19" t="s">
        <v>15</v>
      </c>
      <c r="D110" s="19" t="s">
        <v>280</v>
      </c>
      <c r="E110" s="21" t="s">
        <v>281</v>
      </c>
      <c r="F110" s="31">
        <v>1</v>
      </c>
      <c r="G110" s="32" t="s">
        <v>585</v>
      </c>
      <c r="I110" s="20">
        <v>1</v>
      </c>
      <c r="J110" s="10">
        <f t="shared" si="1"/>
        <v>0</v>
      </c>
    </row>
    <row r="111" spans="1:10" x14ac:dyDescent="0.2">
      <c r="A111" s="19" t="s">
        <v>282</v>
      </c>
      <c r="B111" s="20" t="s">
        <v>283</v>
      </c>
      <c r="C111" s="19" t="s">
        <v>15</v>
      </c>
      <c r="D111" s="19" t="s">
        <v>284</v>
      </c>
      <c r="E111" s="21" t="s">
        <v>32</v>
      </c>
      <c r="F111" s="31">
        <v>1</v>
      </c>
      <c r="G111" s="32" t="s">
        <v>585</v>
      </c>
      <c r="I111" s="20">
        <v>1</v>
      </c>
      <c r="J111" s="10">
        <f t="shared" si="1"/>
        <v>0</v>
      </c>
    </row>
    <row r="112" spans="1:10" ht="25.5" x14ac:dyDescent="0.2">
      <c r="A112" s="19" t="s">
        <v>285</v>
      </c>
      <c r="B112" s="20" t="s">
        <v>286</v>
      </c>
      <c r="C112" s="19" t="s">
        <v>15</v>
      </c>
      <c r="D112" s="19" t="s">
        <v>287</v>
      </c>
      <c r="E112" s="21" t="s">
        <v>32</v>
      </c>
      <c r="F112" s="31">
        <f>F111</f>
        <v>1</v>
      </c>
      <c r="G112" s="32" t="s">
        <v>585</v>
      </c>
      <c r="I112" s="20">
        <v>1</v>
      </c>
      <c r="J112" s="10">
        <f t="shared" si="1"/>
        <v>0</v>
      </c>
    </row>
    <row r="113" spans="1:10" ht="25.5" x14ac:dyDescent="0.2">
      <c r="A113" s="19" t="s">
        <v>288</v>
      </c>
      <c r="B113" s="20" t="s">
        <v>289</v>
      </c>
      <c r="C113" s="19" t="s">
        <v>31</v>
      </c>
      <c r="D113" s="19" t="s">
        <v>290</v>
      </c>
      <c r="E113" s="21" t="s">
        <v>5</v>
      </c>
      <c r="F113" s="31">
        <f>0.4*0.6</f>
        <v>0.24</v>
      </c>
      <c r="G113" s="31" t="s">
        <v>622</v>
      </c>
      <c r="I113" s="20">
        <v>0.24</v>
      </c>
      <c r="J113" s="10">
        <f t="shared" si="1"/>
        <v>0</v>
      </c>
    </row>
    <row r="114" spans="1:10" ht="25.5" x14ac:dyDescent="0.2">
      <c r="A114" s="19" t="s">
        <v>291</v>
      </c>
      <c r="B114" s="20" t="s">
        <v>292</v>
      </c>
      <c r="C114" s="19" t="s">
        <v>31</v>
      </c>
      <c r="D114" s="19" t="s">
        <v>293</v>
      </c>
      <c r="E114" s="21" t="s">
        <v>32</v>
      </c>
      <c r="F114" s="31">
        <v>1</v>
      </c>
      <c r="G114" s="32" t="s">
        <v>585</v>
      </c>
      <c r="I114" s="20">
        <v>1</v>
      </c>
      <c r="J114" s="10">
        <f t="shared" si="1"/>
        <v>0</v>
      </c>
    </row>
    <row r="115" spans="1:10" ht="25.5" x14ac:dyDescent="0.2">
      <c r="A115" s="19" t="s">
        <v>294</v>
      </c>
      <c r="B115" s="20" t="s">
        <v>295</v>
      </c>
      <c r="C115" s="19" t="s">
        <v>275</v>
      </c>
      <c r="D115" s="19" t="s">
        <v>296</v>
      </c>
      <c r="E115" s="21" t="s">
        <v>32</v>
      </c>
      <c r="F115" s="31">
        <v>1</v>
      </c>
      <c r="G115" s="32" t="s">
        <v>585</v>
      </c>
      <c r="I115" s="20">
        <v>1</v>
      </c>
      <c r="J115" s="10">
        <f t="shared" si="1"/>
        <v>0</v>
      </c>
    </row>
    <row r="116" spans="1:10" x14ac:dyDescent="0.2">
      <c r="A116" s="19" t="s">
        <v>297</v>
      </c>
      <c r="B116" s="20" t="s">
        <v>299</v>
      </c>
      <c r="C116" s="19" t="s">
        <v>15</v>
      </c>
      <c r="D116" s="19" t="s">
        <v>300</v>
      </c>
      <c r="E116" s="21" t="s">
        <v>32</v>
      </c>
      <c r="F116" s="31">
        <v>1</v>
      </c>
      <c r="G116" s="32" t="s">
        <v>585</v>
      </c>
      <c r="I116" s="20">
        <v>1</v>
      </c>
      <c r="J116" s="10">
        <f t="shared" si="1"/>
        <v>0</v>
      </c>
    </row>
    <row r="117" spans="1:10" x14ac:dyDescent="0.2">
      <c r="A117" s="19" t="s">
        <v>298</v>
      </c>
      <c r="B117" s="20" t="s">
        <v>302</v>
      </c>
      <c r="C117" s="19" t="s">
        <v>15</v>
      </c>
      <c r="D117" s="19" t="s">
        <v>303</v>
      </c>
      <c r="E117" s="21" t="s">
        <v>5</v>
      </c>
      <c r="F117" s="31">
        <f>1.2*0.55</f>
        <v>0.66</v>
      </c>
      <c r="G117" s="31" t="s">
        <v>623</v>
      </c>
      <c r="I117" s="20">
        <v>0.66</v>
      </c>
      <c r="J117" s="10">
        <f t="shared" si="1"/>
        <v>0</v>
      </c>
    </row>
    <row r="118" spans="1:10" x14ac:dyDescent="0.2">
      <c r="A118" s="19" t="s">
        <v>301</v>
      </c>
      <c r="B118" s="20" t="s">
        <v>684</v>
      </c>
      <c r="C118" s="19" t="s">
        <v>15</v>
      </c>
      <c r="D118" s="19" t="s">
        <v>685</v>
      </c>
      <c r="E118" s="21" t="s">
        <v>32</v>
      </c>
      <c r="F118" s="31">
        <v>1</v>
      </c>
      <c r="G118" s="32" t="s">
        <v>585</v>
      </c>
      <c r="I118" s="20">
        <v>1</v>
      </c>
      <c r="J118" s="10">
        <f t="shared" si="1"/>
        <v>0</v>
      </c>
    </row>
    <row r="119" spans="1:10" x14ac:dyDescent="0.2">
      <c r="A119" s="19" t="s">
        <v>304</v>
      </c>
      <c r="B119" s="20" t="s">
        <v>306</v>
      </c>
      <c r="C119" s="19" t="s">
        <v>15</v>
      </c>
      <c r="D119" s="19" t="s">
        <v>307</v>
      </c>
      <c r="E119" s="21" t="s">
        <v>32</v>
      </c>
      <c r="F119" s="31">
        <f>F118</f>
        <v>1</v>
      </c>
      <c r="G119" s="32" t="s">
        <v>585</v>
      </c>
      <c r="I119" s="20">
        <v>1</v>
      </c>
      <c r="J119" s="10">
        <f t="shared" si="1"/>
        <v>0</v>
      </c>
    </row>
    <row r="120" spans="1:10" x14ac:dyDescent="0.2">
      <c r="A120" s="19" t="s">
        <v>305</v>
      </c>
      <c r="B120" s="20" t="s">
        <v>308</v>
      </c>
      <c r="C120" s="19" t="s">
        <v>15</v>
      </c>
      <c r="D120" s="19" t="s">
        <v>309</v>
      </c>
      <c r="E120" s="21" t="s">
        <v>32</v>
      </c>
      <c r="F120" s="31">
        <v>1</v>
      </c>
      <c r="G120" s="32" t="s">
        <v>585</v>
      </c>
      <c r="I120" s="20">
        <v>1</v>
      </c>
      <c r="J120" s="10">
        <f t="shared" si="1"/>
        <v>0</v>
      </c>
    </row>
    <row r="121" spans="1:10" x14ac:dyDescent="0.2">
      <c r="A121" s="18" t="s">
        <v>310</v>
      </c>
      <c r="B121" s="18"/>
      <c r="C121" s="18"/>
      <c r="D121" s="18" t="s">
        <v>311</v>
      </c>
      <c r="E121" s="18"/>
      <c r="F121" s="29"/>
      <c r="G121" s="28"/>
      <c r="I121" s="39"/>
      <c r="J121" s="10">
        <f t="shared" si="1"/>
        <v>0</v>
      </c>
    </row>
    <row r="122" spans="1:10" ht="25.5" x14ac:dyDescent="0.2">
      <c r="A122" s="19" t="s">
        <v>312</v>
      </c>
      <c r="B122" s="20" t="s">
        <v>313</v>
      </c>
      <c r="C122" s="19" t="s">
        <v>31</v>
      </c>
      <c r="D122" s="19" t="s">
        <v>314</v>
      </c>
      <c r="E122" s="21" t="s">
        <v>78</v>
      </c>
      <c r="F122" s="33">
        <v>16</v>
      </c>
      <c r="G122" s="32" t="s">
        <v>641</v>
      </c>
      <c r="I122" s="20">
        <v>16</v>
      </c>
      <c r="J122" s="10">
        <f t="shared" si="1"/>
        <v>0</v>
      </c>
    </row>
    <row r="123" spans="1:10" x14ac:dyDescent="0.2">
      <c r="A123" s="18" t="s">
        <v>315</v>
      </c>
      <c r="B123" s="18"/>
      <c r="C123" s="18"/>
      <c r="D123" s="18" t="s">
        <v>316</v>
      </c>
      <c r="E123" s="18"/>
      <c r="F123" s="29"/>
      <c r="G123" s="28"/>
      <c r="I123" s="39"/>
      <c r="J123" s="10">
        <f t="shared" si="1"/>
        <v>0</v>
      </c>
    </row>
    <row r="124" spans="1:10" x14ac:dyDescent="0.2">
      <c r="A124" s="18" t="s">
        <v>317</v>
      </c>
      <c r="B124" s="18"/>
      <c r="C124" s="18"/>
      <c r="D124" s="18" t="s">
        <v>318</v>
      </c>
      <c r="E124" s="18"/>
      <c r="F124" s="29"/>
      <c r="G124" s="28"/>
      <c r="I124" s="39"/>
      <c r="J124" s="10">
        <f t="shared" si="1"/>
        <v>0</v>
      </c>
    </row>
    <row r="125" spans="1:10" x14ac:dyDescent="0.2">
      <c r="A125" s="19" t="s">
        <v>319</v>
      </c>
      <c r="B125" s="20" t="s">
        <v>320</v>
      </c>
      <c r="C125" s="19" t="s">
        <v>15</v>
      </c>
      <c r="D125" s="19" t="s">
        <v>321</v>
      </c>
      <c r="E125" s="21" t="s">
        <v>78</v>
      </c>
      <c r="F125" s="33">
        <v>15</v>
      </c>
      <c r="G125" s="32" t="s">
        <v>641</v>
      </c>
      <c r="I125" s="20">
        <v>15</v>
      </c>
      <c r="J125" s="10">
        <f t="shared" si="1"/>
        <v>0</v>
      </c>
    </row>
    <row r="126" spans="1:10" x14ac:dyDescent="0.2">
      <c r="A126" s="19" t="s">
        <v>322</v>
      </c>
      <c r="B126" s="20" t="s">
        <v>323</v>
      </c>
      <c r="C126" s="19" t="s">
        <v>15</v>
      </c>
      <c r="D126" s="19" t="s">
        <v>324</v>
      </c>
      <c r="E126" s="21" t="s">
        <v>78</v>
      </c>
      <c r="F126" s="33">
        <v>25</v>
      </c>
      <c r="G126" s="32" t="s">
        <v>641</v>
      </c>
      <c r="I126" s="20">
        <v>25</v>
      </c>
      <c r="J126" s="10">
        <f t="shared" si="1"/>
        <v>0</v>
      </c>
    </row>
    <row r="127" spans="1:10" x14ac:dyDescent="0.2">
      <c r="A127" s="19" t="s">
        <v>325</v>
      </c>
      <c r="B127" s="20" t="s">
        <v>326</v>
      </c>
      <c r="C127" s="19" t="s">
        <v>327</v>
      </c>
      <c r="D127" s="19" t="s">
        <v>328</v>
      </c>
      <c r="E127" s="21" t="s">
        <v>32</v>
      </c>
      <c r="F127" s="33">
        <v>1</v>
      </c>
      <c r="G127" s="32" t="s">
        <v>641</v>
      </c>
      <c r="I127" s="20">
        <v>1</v>
      </c>
      <c r="J127" s="10">
        <f t="shared" si="1"/>
        <v>0</v>
      </c>
    </row>
    <row r="128" spans="1:10" x14ac:dyDescent="0.2">
      <c r="A128" s="18" t="s">
        <v>329</v>
      </c>
      <c r="B128" s="18"/>
      <c r="C128" s="18"/>
      <c r="D128" s="18" t="s">
        <v>330</v>
      </c>
      <c r="E128" s="18"/>
      <c r="F128" s="29"/>
      <c r="G128" s="28"/>
      <c r="I128" s="39"/>
      <c r="J128" s="10">
        <f t="shared" si="1"/>
        <v>0</v>
      </c>
    </row>
    <row r="129" spans="1:10" ht="25.5" x14ac:dyDescent="0.2">
      <c r="A129" s="19" t="s">
        <v>331</v>
      </c>
      <c r="B129" s="20" t="s">
        <v>686</v>
      </c>
      <c r="C129" s="19" t="s">
        <v>15</v>
      </c>
      <c r="D129" s="19" t="s">
        <v>687</v>
      </c>
      <c r="E129" s="21" t="s">
        <v>32</v>
      </c>
      <c r="F129" s="37">
        <v>1</v>
      </c>
      <c r="G129" s="32" t="s">
        <v>641</v>
      </c>
      <c r="I129" s="20">
        <v>1</v>
      </c>
      <c r="J129" s="10">
        <f t="shared" si="1"/>
        <v>0</v>
      </c>
    </row>
    <row r="130" spans="1:10" ht="25.5" x14ac:dyDescent="0.2">
      <c r="A130" s="19" t="s">
        <v>332</v>
      </c>
      <c r="B130" s="20" t="s">
        <v>333</v>
      </c>
      <c r="C130" s="19" t="s">
        <v>15</v>
      </c>
      <c r="D130" s="19" t="s">
        <v>334</v>
      </c>
      <c r="E130" s="21" t="s">
        <v>32</v>
      </c>
      <c r="F130" s="33">
        <v>1</v>
      </c>
      <c r="G130" s="32" t="s">
        <v>641</v>
      </c>
      <c r="I130" s="20">
        <v>1</v>
      </c>
      <c r="J130" s="10">
        <f t="shared" si="1"/>
        <v>0</v>
      </c>
    </row>
    <row r="131" spans="1:10" x14ac:dyDescent="0.2">
      <c r="A131" s="19" t="s">
        <v>335</v>
      </c>
      <c r="B131" s="20" t="s">
        <v>336</v>
      </c>
      <c r="C131" s="19" t="s">
        <v>15</v>
      </c>
      <c r="D131" s="19" t="s">
        <v>337</v>
      </c>
      <c r="E131" s="21" t="s">
        <v>32</v>
      </c>
      <c r="F131" s="33">
        <v>2</v>
      </c>
      <c r="G131" s="32" t="s">
        <v>641</v>
      </c>
      <c r="I131" s="20">
        <v>2</v>
      </c>
      <c r="J131" s="10">
        <f t="shared" si="1"/>
        <v>0</v>
      </c>
    </row>
    <row r="132" spans="1:10" x14ac:dyDescent="0.2">
      <c r="A132" s="18" t="s">
        <v>338</v>
      </c>
      <c r="B132" s="18"/>
      <c r="C132" s="18"/>
      <c r="D132" s="18" t="s">
        <v>339</v>
      </c>
      <c r="E132" s="18"/>
      <c r="F132" s="29"/>
      <c r="G132" s="28"/>
      <c r="I132" s="39"/>
      <c r="J132" s="10">
        <f t="shared" si="1"/>
        <v>0</v>
      </c>
    </row>
    <row r="133" spans="1:10" x14ac:dyDescent="0.2">
      <c r="A133" s="19" t="s">
        <v>340</v>
      </c>
      <c r="B133" s="20" t="s">
        <v>341</v>
      </c>
      <c r="C133" s="19" t="s">
        <v>15</v>
      </c>
      <c r="D133" s="19" t="s">
        <v>342</v>
      </c>
      <c r="E133" s="21" t="s">
        <v>78</v>
      </c>
      <c r="F133" s="33">
        <v>25</v>
      </c>
      <c r="G133" s="32" t="s">
        <v>641</v>
      </c>
      <c r="I133" s="20">
        <v>25</v>
      </c>
      <c r="J133" s="10">
        <f t="shared" si="1"/>
        <v>0</v>
      </c>
    </row>
    <row r="134" spans="1:10" x14ac:dyDescent="0.2">
      <c r="A134" s="19" t="s">
        <v>343</v>
      </c>
      <c r="B134" s="20" t="s">
        <v>344</v>
      </c>
      <c r="C134" s="19" t="s">
        <v>15</v>
      </c>
      <c r="D134" s="19" t="s">
        <v>345</v>
      </c>
      <c r="E134" s="21" t="s">
        <v>78</v>
      </c>
      <c r="F134" s="33">
        <v>85</v>
      </c>
      <c r="G134" s="32" t="s">
        <v>641</v>
      </c>
      <c r="I134" s="20">
        <v>85</v>
      </c>
      <c r="J134" s="10">
        <f t="shared" si="1"/>
        <v>0</v>
      </c>
    </row>
    <row r="135" spans="1:10" x14ac:dyDescent="0.2">
      <c r="A135" s="19" t="s">
        <v>346</v>
      </c>
      <c r="B135" s="20" t="s">
        <v>347</v>
      </c>
      <c r="C135" s="19" t="s">
        <v>15</v>
      </c>
      <c r="D135" s="19" t="s">
        <v>348</v>
      </c>
      <c r="E135" s="21" t="s">
        <v>78</v>
      </c>
      <c r="F135" s="33">
        <v>13</v>
      </c>
      <c r="G135" s="32" t="s">
        <v>641</v>
      </c>
      <c r="I135" s="20">
        <v>13</v>
      </c>
      <c r="J135" s="10">
        <f t="shared" si="1"/>
        <v>0</v>
      </c>
    </row>
    <row r="136" spans="1:10" x14ac:dyDescent="0.2">
      <c r="A136" s="18" t="s">
        <v>349</v>
      </c>
      <c r="B136" s="18"/>
      <c r="C136" s="18"/>
      <c r="D136" s="18" t="s">
        <v>350</v>
      </c>
      <c r="E136" s="18"/>
      <c r="F136" s="29"/>
      <c r="G136" s="28"/>
      <c r="I136" s="39"/>
      <c r="J136" s="10">
        <f t="shared" si="1"/>
        <v>0</v>
      </c>
    </row>
    <row r="137" spans="1:10" x14ac:dyDescent="0.2">
      <c r="A137" s="19" t="s">
        <v>351</v>
      </c>
      <c r="B137" s="20" t="s">
        <v>352</v>
      </c>
      <c r="C137" s="19" t="s">
        <v>15</v>
      </c>
      <c r="D137" s="19" t="s">
        <v>353</v>
      </c>
      <c r="E137" s="21" t="s">
        <v>32</v>
      </c>
      <c r="F137" s="31">
        <v>1</v>
      </c>
      <c r="G137" s="32" t="s">
        <v>624</v>
      </c>
      <c r="I137" s="20">
        <v>1</v>
      </c>
      <c r="J137" s="10">
        <f t="shared" ref="J137:J200" si="2">I137-F137</f>
        <v>0</v>
      </c>
    </row>
    <row r="138" spans="1:10" x14ac:dyDescent="0.2">
      <c r="A138" s="19" t="s">
        <v>354</v>
      </c>
      <c r="B138" s="20" t="s">
        <v>355</v>
      </c>
      <c r="C138" s="19" t="s">
        <v>15</v>
      </c>
      <c r="D138" s="19" t="s">
        <v>356</v>
      </c>
      <c r="E138" s="21" t="s">
        <v>32</v>
      </c>
      <c r="F138" s="31">
        <v>1</v>
      </c>
      <c r="G138" s="32" t="s">
        <v>624</v>
      </c>
      <c r="I138" s="20">
        <v>1</v>
      </c>
      <c r="J138" s="10">
        <f t="shared" si="2"/>
        <v>0</v>
      </c>
    </row>
    <row r="139" spans="1:10" x14ac:dyDescent="0.2">
      <c r="A139" s="19" t="s">
        <v>357</v>
      </c>
      <c r="B139" s="20" t="s">
        <v>358</v>
      </c>
      <c r="C139" s="19" t="s">
        <v>15</v>
      </c>
      <c r="D139" s="19" t="s">
        <v>359</v>
      </c>
      <c r="E139" s="21" t="s">
        <v>32</v>
      </c>
      <c r="F139" s="31">
        <v>2</v>
      </c>
      <c r="G139" s="32" t="s">
        <v>624</v>
      </c>
      <c r="I139" s="20">
        <v>2</v>
      </c>
      <c r="J139" s="10">
        <f t="shared" si="2"/>
        <v>0</v>
      </c>
    </row>
    <row r="140" spans="1:10" x14ac:dyDescent="0.2">
      <c r="A140" s="18" t="s">
        <v>360</v>
      </c>
      <c r="B140" s="18"/>
      <c r="C140" s="18"/>
      <c r="D140" s="18" t="s">
        <v>361</v>
      </c>
      <c r="E140" s="18"/>
      <c r="F140" s="29"/>
      <c r="G140" s="28"/>
      <c r="I140" s="39"/>
      <c r="J140" s="10">
        <f t="shared" si="2"/>
        <v>0</v>
      </c>
    </row>
    <row r="141" spans="1:10" x14ac:dyDescent="0.2">
      <c r="A141" s="19" t="s">
        <v>362</v>
      </c>
      <c r="B141" s="20" t="s">
        <v>363</v>
      </c>
      <c r="C141" s="19" t="s">
        <v>15</v>
      </c>
      <c r="D141" s="19" t="s">
        <v>364</v>
      </c>
      <c r="E141" s="21" t="s">
        <v>78</v>
      </c>
      <c r="F141" s="33">
        <v>250</v>
      </c>
      <c r="G141" s="32" t="s">
        <v>641</v>
      </c>
      <c r="I141" s="20">
        <v>250</v>
      </c>
      <c r="J141" s="10">
        <f t="shared" si="2"/>
        <v>0</v>
      </c>
    </row>
    <row r="142" spans="1:10" x14ac:dyDescent="0.2">
      <c r="A142" s="19" t="s">
        <v>365</v>
      </c>
      <c r="B142" s="20" t="s">
        <v>366</v>
      </c>
      <c r="C142" s="19" t="s">
        <v>15</v>
      </c>
      <c r="D142" s="19" t="s">
        <v>367</v>
      </c>
      <c r="E142" s="21" t="s">
        <v>78</v>
      </c>
      <c r="F142" s="33">
        <v>200</v>
      </c>
      <c r="G142" s="32" t="s">
        <v>641</v>
      </c>
      <c r="I142" s="20">
        <v>200</v>
      </c>
      <c r="J142" s="10">
        <f t="shared" si="2"/>
        <v>0</v>
      </c>
    </row>
    <row r="143" spans="1:10" x14ac:dyDescent="0.2">
      <c r="A143" s="19" t="s">
        <v>368</v>
      </c>
      <c r="B143" s="20" t="s">
        <v>369</v>
      </c>
      <c r="C143" s="19" t="s">
        <v>15</v>
      </c>
      <c r="D143" s="19" t="s">
        <v>370</v>
      </c>
      <c r="E143" s="21" t="s">
        <v>78</v>
      </c>
      <c r="F143" s="33">
        <v>450</v>
      </c>
      <c r="G143" s="32" t="s">
        <v>641</v>
      </c>
      <c r="I143" s="20">
        <v>450</v>
      </c>
      <c r="J143" s="10">
        <f t="shared" si="2"/>
        <v>0</v>
      </c>
    </row>
    <row r="144" spans="1:10" x14ac:dyDescent="0.2">
      <c r="A144" s="19" t="s">
        <v>371</v>
      </c>
      <c r="B144" s="20" t="s">
        <v>372</v>
      </c>
      <c r="C144" s="19" t="s">
        <v>15</v>
      </c>
      <c r="D144" s="19" t="s">
        <v>373</v>
      </c>
      <c r="E144" s="21" t="s">
        <v>78</v>
      </c>
      <c r="F144" s="33">
        <v>150</v>
      </c>
      <c r="G144" s="32" t="s">
        <v>641</v>
      </c>
      <c r="I144" s="20">
        <v>150</v>
      </c>
      <c r="J144" s="10">
        <f t="shared" si="2"/>
        <v>0</v>
      </c>
    </row>
    <row r="145" spans="1:10" x14ac:dyDescent="0.2">
      <c r="A145" s="19" t="s">
        <v>374</v>
      </c>
      <c r="B145" s="20" t="s">
        <v>375</v>
      </c>
      <c r="C145" s="19" t="s">
        <v>15</v>
      </c>
      <c r="D145" s="19" t="s">
        <v>376</v>
      </c>
      <c r="E145" s="21" t="s">
        <v>78</v>
      </c>
      <c r="F145" s="33">
        <v>400</v>
      </c>
      <c r="G145" s="32" t="s">
        <v>641</v>
      </c>
      <c r="I145" s="20">
        <v>100</v>
      </c>
      <c r="J145" s="10">
        <f t="shared" si="2"/>
        <v>-300</v>
      </c>
    </row>
    <row r="146" spans="1:10" x14ac:dyDescent="0.2">
      <c r="A146" s="18" t="s">
        <v>377</v>
      </c>
      <c r="B146" s="18"/>
      <c r="C146" s="18"/>
      <c r="D146" s="18" t="s">
        <v>378</v>
      </c>
      <c r="E146" s="18"/>
      <c r="F146" s="29"/>
      <c r="G146" s="28"/>
      <c r="I146" s="39"/>
      <c r="J146" s="10">
        <f t="shared" si="2"/>
        <v>0</v>
      </c>
    </row>
    <row r="147" spans="1:10" x14ac:dyDescent="0.2">
      <c r="A147" s="19" t="s">
        <v>379</v>
      </c>
      <c r="B147" s="20" t="s">
        <v>380</v>
      </c>
      <c r="C147" s="19" t="s">
        <v>15</v>
      </c>
      <c r="D147" s="19" t="s">
        <v>381</v>
      </c>
      <c r="E147" s="21" t="s">
        <v>281</v>
      </c>
      <c r="F147" s="31">
        <v>5</v>
      </c>
      <c r="G147" s="32" t="s">
        <v>624</v>
      </c>
      <c r="I147" s="20">
        <v>5</v>
      </c>
      <c r="J147" s="10">
        <f t="shared" si="2"/>
        <v>0</v>
      </c>
    </row>
    <row r="148" spans="1:10" x14ac:dyDescent="0.2">
      <c r="A148" s="19" t="s">
        <v>382</v>
      </c>
      <c r="B148" s="20" t="s">
        <v>383</v>
      </c>
      <c r="C148" s="19" t="s">
        <v>15</v>
      </c>
      <c r="D148" s="19" t="s">
        <v>384</v>
      </c>
      <c r="E148" s="21" t="s">
        <v>281</v>
      </c>
      <c r="F148" s="31">
        <v>2</v>
      </c>
      <c r="G148" s="32" t="s">
        <v>624</v>
      </c>
      <c r="I148" s="20">
        <v>2</v>
      </c>
      <c r="J148" s="10">
        <f t="shared" si="2"/>
        <v>0</v>
      </c>
    </row>
    <row r="149" spans="1:10" x14ac:dyDescent="0.2">
      <c r="A149" s="19" t="s">
        <v>385</v>
      </c>
      <c r="B149" s="20" t="s">
        <v>386</v>
      </c>
      <c r="C149" s="19" t="s">
        <v>15</v>
      </c>
      <c r="D149" s="19" t="s">
        <v>387</v>
      </c>
      <c r="E149" s="21" t="s">
        <v>32</v>
      </c>
      <c r="F149" s="31">
        <v>1</v>
      </c>
      <c r="G149" s="32" t="s">
        <v>624</v>
      </c>
      <c r="I149" s="20">
        <v>1</v>
      </c>
      <c r="J149" s="10">
        <f t="shared" si="2"/>
        <v>0</v>
      </c>
    </row>
    <row r="150" spans="1:10" x14ac:dyDescent="0.2">
      <c r="A150" s="19" t="s">
        <v>388</v>
      </c>
      <c r="B150" s="20" t="s">
        <v>389</v>
      </c>
      <c r="C150" s="19" t="s">
        <v>15</v>
      </c>
      <c r="D150" s="19" t="s">
        <v>390</v>
      </c>
      <c r="E150" s="21" t="s">
        <v>32</v>
      </c>
      <c r="F150" s="31">
        <v>1</v>
      </c>
      <c r="G150" s="32" t="s">
        <v>624</v>
      </c>
      <c r="I150" s="20">
        <v>1</v>
      </c>
      <c r="J150" s="10">
        <f t="shared" si="2"/>
        <v>0</v>
      </c>
    </row>
    <row r="151" spans="1:10" x14ac:dyDescent="0.2">
      <c r="A151" s="19" t="s">
        <v>391</v>
      </c>
      <c r="B151" s="20" t="s">
        <v>688</v>
      </c>
      <c r="C151" s="19" t="s">
        <v>15</v>
      </c>
      <c r="D151" s="19" t="s">
        <v>689</v>
      </c>
      <c r="E151" s="21" t="s">
        <v>281</v>
      </c>
      <c r="F151" s="31">
        <v>2</v>
      </c>
      <c r="G151" s="32" t="s">
        <v>624</v>
      </c>
      <c r="I151" s="20">
        <v>2</v>
      </c>
      <c r="J151" s="10">
        <f t="shared" si="2"/>
        <v>0</v>
      </c>
    </row>
    <row r="152" spans="1:10" x14ac:dyDescent="0.2">
      <c r="A152" s="19" t="s">
        <v>392</v>
      </c>
      <c r="B152" s="20" t="s">
        <v>393</v>
      </c>
      <c r="C152" s="19" t="s">
        <v>15</v>
      </c>
      <c r="D152" s="19" t="s">
        <v>394</v>
      </c>
      <c r="E152" s="21" t="s">
        <v>281</v>
      </c>
      <c r="F152" s="31">
        <v>1</v>
      </c>
      <c r="G152" s="32" t="s">
        <v>624</v>
      </c>
      <c r="I152" s="20">
        <v>1</v>
      </c>
      <c r="J152" s="10">
        <f t="shared" si="2"/>
        <v>0</v>
      </c>
    </row>
    <row r="153" spans="1:10" x14ac:dyDescent="0.2">
      <c r="A153" s="18" t="s">
        <v>395</v>
      </c>
      <c r="B153" s="18"/>
      <c r="C153" s="18"/>
      <c r="D153" s="18" t="s">
        <v>396</v>
      </c>
      <c r="E153" s="18"/>
      <c r="F153" s="29"/>
      <c r="G153" s="28"/>
      <c r="I153" s="39"/>
      <c r="J153" s="10">
        <f t="shared" si="2"/>
        <v>0</v>
      </c>
    </row>
    <row r="154" spans="1:10" x14ac:dyDescent="0.2">
      <c r="A154" s="19" t="s">
        <v>397</v>
      </c>
      <c r="B154" s="20" t="s">
        <v>400</v>
      </c>
      <c r="C154" s="19" t="s">
        <v>240</v>
      </c>
      <c r="D154" s="19" t="s">
        <v>401</v>
      </c>
      <c r="E154" s="21" t="s">
        <v>32</v>
      </c>
      <c r="F154" s="31">
        <v>3</v>
      </c>
      <c r="G154" s="32" t="s">
        <v>624</v>
      </c>
      <c r="I154" s="20">
        <v>3</v>
      </c>
      <c r="J154" s="10">
        <f t="shared" si="2"/>
        <v>0</v>
      </c>
    </row>
    <row r="155" spans="1:10" ht="38.25" x14ac:dyDescent="0.2">
      <c r="A155" s="19" t="s">
        <v>398</v>
      </c>
      <c r="B155" s="20" t="s">
        <v>690</v>
      </c>
      <c r="C155" s="19" t="s">
        <v>240</v>
      </c>
      <c r="D155" s="19" t="s">
        <v>691</v>
      </c>
      <c r="E155" s="21" t="s">
        <v>32</v>
      </c>
      <c r="F155" s="31">
        <f>ROUNDUP((3+4+3+4+3+10.2+3+4+3+4+3)/2,0)</f>
        <v>23</v>
      </c>
      <c r="G155" s="31" t="s">
        <v>625</v>
      </c>
      <c r="I155" s="20">
        <v>23</v>
      </c>
      <c r="J155" s="10">
        <f t="shared" si="2"/>
        <v>0</v>
      </c>
    </row>
    <row r="156" spans="1:10" x14ac:dyDescent="0.2">
      <c r="A156" s="19" t="s">
        <v>399</v>
      </c>
      <c r="B156" s="20" t="s">
        <v>692</v>
      </c>
      <c r="C156" s="19" t="s">
        <v>240</v>
      </c>
      <c r="D156" s="19" t="s">
        <v>693</v>
      </c>
      <c r="E156" s="21" t="s">
        <v>32</v>
      </c>
      <c r="F156" s="31">
        <v>7</v>
      </c>
      <c r="G156" s="32" t="s">
        <v>624</v>
      </c>
      <c r="I156" s="20">
        <v>7</v>
      </c>
      <c r="J156" s="10">
        <f t="shared" si="2"/>
        <v>0</v>
      </c>
    </row>
    <row r="157" spans="1:10" x14ac:dyDescent="0.2">
      <c r="A157" s="18" t="s">
        <v>402</v>
      </c>
      <c r="B157" s="18"/>
      <c r="C157" s="18"/>
      <c r="D157" s="18" t="s">
        <v>403</v>
      </c>
      <c r="E157" s="18"/>
      <c r="F157" s="29"/>
      <c r="G157" s="28"/>
      <c r="I157" s="39"/>
      <c r="J157" s="10">
        <f t="shared" si="2"/>
        <v>0</v>
      </c>
    </row>
    <row r="158" spans="1:10" x14ac:dyDescent="0.2">
      <c r="A158" s="19" t="s">
        <v>404</v>
      </c>
      <c r="B158" s="20" t="s">
        <v>405</v>
      </c>
      <c r="C158" s="19" t="s">
        <v>15</v>
      </c>
      <c r="D158" s="19" t="s">
        <v>406</v>
      </c>
      <c r="E158" s="21" t="s">
        <v>32</v>
      </c>
      <c r="F158" s="33">
        <v>5</v>
      </c>
      <c r="G158" s="32" t="s">
        <v>641</v>
      </c>
      <c r="I158" s="20">
        <v>5</v>
      </c>
      <c r="J158" s="10">
        <f t="shared" si="2"/>
        <v>0</v>
      </c>
    </row>
    <row r="159" spans="1:10" x14ac:dyDescent="0.2">
      <c r="A159" s="19" t="s">
        <v>407</v>
      </c>
      <c r="B159" s="20" t="s">
        <v>408</v>
      </c>
      <c r="C159" s="19" t="s">
        <v>15</v>
      </c>
      <c r="D159" s="19" t="s">
        <v>409</v>
      </c>
      <c r="E159" s="21" t="s">
        <v>32</v>
      </c>
      <c r="F159" s="33">
        <v>2</v>
      </c>
      <c r="G159" s="32" t="s">
        <v>641</v>
      </c>
      <c r="I159" s="20">
        <v>2</v>
      </c>
      <c r="J159" s="10">
        <f t="shared" si="2"/>
        <v>0</v>
      </c>
    </row>
    <row r="160" spans="1:10" ht="25.5" x14ac:dyDescent="0.2">
      <c r="A160" s="19" t="s">
        <v>410</v>
      </c>
      <c r="B160" s="20" t="s">
        <v>411</v>
      </c>
      <c r="C160" s="19" t="s">
        <v>275</v>
      </c>
      <c r="D160" s="19" t="s">
        <v>412</v>
      </c>
      <c r="E160" s="21" t="s">
        <v>32</v>
      </c>
      <c r="F160" s="33">
        <v>1</v>
      </c>
      <c r="G160" s="32" t="s">
        <v>641</v>
      </c>
      <c r="I160" s="20">
        <v>1</v>
      </c>
      <c r="J160" s="10">
        <f t="shared" si="2"/>
        <v>0</v>
      </c>
    </row>
    <row r="161" spans="1:10" ht="25.5" x14ac:dyDescent="0.2">
      <c r="A161" s="19" t="s">
        <v>413</v>
      </c>
      <c r="B161" s="20" t="s">
        <v>414</v>
      </c>
      <c r="C161" s="19" t="s">
        <v>275</v>
      </c>
      <c r="D161" s="19" t="s">
        <v>415</v>
      </c>
      <c r="E161" s="21" t="s">
        <v>32</v>
      </c>
      <c r="F161" s="33">
        <v>2</v>
      </c>
      <c r="G161" s="32" t="s">
        <v>641</v>
      </c>
      <c r="I161" s="20">
        <v>2</v>
      </c>
      <c r="J161" s="10">
        <f t="shared" si="2"/>
        <v>0</v>
      </c>
    </row>
    <row r="162" spans="1:10" x14ac:dyDescent="0.2">
      <c r="A162" s="19" t="s">
        <v>416</v>
      </c>
      <c r="B162" s="20" t="s">
        <v>417</v>
      </c>
      <c r="C162" s="19" t="s">
        <v>275</v>
      </c>
      <c r="D162" s="19" t="s">
        <v>418</v>
      </c>
      <c r="E162" s="21" t="s">
        <v>32</v>
      </c>
      <c r="F162" s="33">
        <v>25</v>
      </c>
      <c r="G162" s="32" t="s">
        <v>641</v>
      </c>
      <c r="I162" s="20">
        <v>25</v>
      </c>
      <c r="J162" s="10">
        <f t="shared" si="2"/>
        <v>0</v>
      </c>
    </row>
    <row r="163" spans="1:10" x14ac:dyDescent="0.2">
      <c r="A163" s="19" t="s">
        <v>419</v>
      </c>
      <c r="B163" s="20" t="s">
        <v>420</v>
      </c>
      <c r="C163" s="19" t="s">
        <v>275</v>
      </c>
      <c r="D163" s="19" t="s">
        <v>421</v>
      </c>
      <c r="E163" s="21" t="s">
        <v>32</v>
      </c>
      <c r="F163" s="33">
        <v>30</v>
      </c>
      <c r="G163" s="32" t="s">
        <v>641</v>
      </c>
      <c r="I163" s="20">
        <v>30</v>
      </c>
      <c r="J163" s="10">
        <f t="shared" si="2"/>
        <v>0</v>
      </c>
    </row>
    <row r="164" spans="1:10" x14ac:dyDescent="0.2">
      <c r="A164" s="18" t="s">
        <v>422</v>
      </c>
      <c r="B164" s="18"/>
      <c r="C164" s="18"/>
      <c r="D164" s="18" t="s">
        <v>423</v>
      </c>
      <c r="E164" s="18"/>
      <c r="F164" s="29"/>
      <c r="G164" s="28"/>
      <c r="I164" s="39"/>
      <c r="J164" s="10">
        <f t="shared" si="2"/>
        <v>0</v>
      </c>
    </row>
    <row r="165" spans="1:10" x14ac:dyDescent="0.2">
      <c r="A165" s="19" t="s">
        <v>424</v>
      </c>
      <c r="B165" s="20" t="s">
        <v>425</v>
      </c>
      <c r="C165" s="19" t="s">
        <v>15</v>
      </c>
      <c r="D165" s="19" t="s">
        <v>426</v>
      </c>
      <c r="E165" s="21" t="s">
        <v>78</v>
      </c>
      <c r="F165" s="33">
        <v>45</v>
      </c>
      <c r="G165" s="32" t="s">
        <v>641</v>
      </c>
      <c r="I165" s="20">
        <v>45</v>
      </c>
      <c r="J165" s="10">
        <f t="shared" si="2"/>
        <v>0</v>
      </c>
    </row>
    <row r="166" spans="1:10" x14ac:dyDescent="0.2">
      <c r="A166" s="19" t="s">
        <v>427</v>
      </c>
      <c r="B166" s="20" t="s">
        <v>428</v>
      </c>
      <c r="C166" s="19" t="s">
        <v>15</v>
      </c>
      <c r="D166" s="19" t="s">
        <v>429</v>
      </c>
      <c r="E166" s="21" t="s">
        <v>32</v>
      </c>
      <c r="F166" s="33">
        <v>6</v>
      </c>
      <c r="G166" s="32" t="s">
        <v>641</v>
      </c>
      <c r="I166" s="20">
        <v>6</v>
      </c>
      <c r="J166" s="10">
        <f t="shared" si="2"/>
        <v>0</v>
      </c>
    </row>
    <row r="167" spans="1:10" x14ac:dyDescent="0.2">
      <c r="A167" s="19" t="s">
        <v>430</v>
      </c>
      <c r="B167" s="20" t="s">
        <v>431</v>
      </c>
      <c r="C167" s="19" t="s">
        <v>15</v>
      </c>
      <c r="D167" s="19" t="s">
        <v>432</v>
      </c>
      <c r="E167" s="21" t="s">
        <v>32</v>
      </c>
      <c r="F167" s="33">
        <v>16</v>
      </c>
      <c r="G167" s="32" t="s">
        <v>641</v>
      </c>
      <c r="I167" s="20">
        <v>16</v>
      </c>
      <c r="J167" s="10">
        <f t="shared" si="2"/>
        <v>0</v>
      </c>
    </row>
    <row r="168" spans="1:10" x14ac:dyDescent="0.2">
      <c r="A168" s="19" t="s">
        <v>433</v>
      </c>
      <c r="B168" s="20" t="s">
        <v>434</v>
      </c>
      <c r="C168" s="19" t="s">
        <v>15</v>
      </c>
      <c r="D168" s="19" t="s">
        <v>435</v>
      </c>
      <c r="E168" s="21" t="s">
        <v>32</v>
      </c>
      <c r="F168" s="33">
        <v>25</v>
      </c>
      <c r="G168" s="32" t="s">
        <v>641</v>
      </c>
      <c r="I168" s="20">
        <v>25</v>
      </c>
      <c r="J168" s="10">
        <f t="shared" si="2"/>
        <v>0</v>
      </c>
    </row>
    <row r="169" spans="1:10" x14ac:dyDescent="0.2">
      <c r="A169" s="19" t="s">
        <v>436</v>
      </c>
      <c r="B169" s="20" t="s">
        <v>437</v>
      </c>
      <c r="C169" s="19" t="s">
        <v>15</v>
      </c>
      <c r="D169" s="19" t="s">
        <v>438</v>
      </c>
      <c r="E169" s="21" t="s">
        <v>78</v>
      </c>
      <c r="F169" s="33">
        <v>45</v>
      </c>
      <c r="G169" s="32" t="s">
        <v>641</v>
      </c>
      <c r="I169" s="20">
        <v>45</v>
      </c>
      <c r="J169" s="10">
        <f t="shared" si="2"/>
        <v>0</v>
      </c>
    </row>
    <row r="170" spans="1:10" x14ac:dyDescent="0.2">
      <c r="A170" s="19" t="s">
        <v>439</v>
      </c>
      <c r="B170" s="20" t="s">
        <v>440</v>
      </c>
      <c r="C170" s="19" t="s">
        <v>15</v>
      </c>
      <c r="D170" s="19" t="s">
        <v>441</v>
      </c>
      <c r="E170" s="21" t="s">
        <v>78</v>
      </c>
      <c r="F170" s="33">
        <v>30</v>
      </c>
      <c r="G170" s="32" t="s">
        <v>641</v>
      </c>
      <c r="I170" s="20">
        <v>30</v>
      </c>
      <c r="J170" s="10">
        <f t="shared" si="2"/>
        <v>0</v>
      </c>
    </row>
    <row r="171" spans="1:10" x14ac:dyDescent="0.2">
      <c r="A171" s="19" t="s">
        <v>442</v>
      </c>
      <c r="B171" s="20" t="s">
        <v>443</v>
      </c>
      <c r="C171" s="19" t="s">
        <v>15</v>
      </c>
      <c r="D171" s="19" t="s">
        <v>444</v>
      </c>
      <c r="E171" s="21" t="s">
        <v>32</v>
      </c>
      <c r="F171" s="33">
        <v>6</v>
      </c>
      <c r="G171" s="32" t="s">
        <v>641</v>
      </c>
      <c r="I171" s="20">
        <v>6</v>
      </c>
      <c r="J171" s="10">
        <f t="shared" si="2"/>
        <v>0</v>
      </c>
    </row>
    <row r="172" spans="1:10" x14ac:dyDescent="0.2">
      <c r="A172" s="19" t="s">
        <v>445</v>
      </c>
      <c r="B172" s="20" t="s">
        <v>224</v>
      </c>
      <c r="C172" s="19" t="s">
        <v>15</v>
      </c>
      <c r="D172" s="19" t="s">
        <v>225</v>
      </c>
      <c r="E172" s="21" t="s">
        <v>32</v>
      </c>
      <c r="F172" s="33">
        <v>6</v>
      </c>
      <c r="G172" s="32" t="s">
        <v>641</v>
      </c>
      <c r="I172" s="20">
        <v>6</v>
      </c>
      <c r="J172" s="10">
        <f t="shared" si="2"/>
        <v>0</v>
      </c>
    </row>
    <row r="173" spans="1:10" x14ac:dyDescent="0.2">
      <c r="A173" s="18" t="s">
        <v>446</v>
      </c>
      <c r="B173" s="18"/>
      <c r="C173" s="18"/>
      <c r="D173" s="18" t="s">
        <v>447</v>
      </c>
      <c r="E173" s="18"/>
      <c r="F173" s="29">
        <v>30</v>
      </c>
      <c r="G173" s="28">
        <v>66</v>
      </c>
      <c r="I173" s="39"/>
      <c r="J173" s="10">
        <f t="shared" si="2"/>
        <v>-30</v>
      </c>
    </row>
    <row r="174" spans="1:10" ht="25.5" x14ac:dyDescent="0.2">
      <c r="A174" s="19" t="s">
        <v>448</v>
      </c>
      <c r="B174" s="20" t="s">
        <v>449</v>
      </c>
      <c r="C174" s="19" t="s">
        <v>15</v>
      </c>
      <c r="D174" s="19" t="s">
        <v>450</v>
      </c>
      <c r="E174" s="21" t="s">
        <v>5</v>
      </c>
      <c r="F174" s="31">
        <f>[4]Acabamentos!$D$120</f>
        <v>9.5</v>
      </c>
      <c r="G174" s="31" t="s">
        <v>626</v>
      </c>
      <c r="I174" s="20">
        <v>9.5</v>
      </c>
      <c r="J174" s="10">
        <f t="shared" si="2"/>
        <v>0</v>
      </c>
    </row>
    <row r="175" spans="1:10" ht="25.5" x14ac:dyDescent="0.2">
      <c r="A175" s="19" t="s">
        <v>451</v>
      </c>
      <c r="B175" s="20" t="s">
        <v>452</v>
      </c>
      <c r="C175" s="19" t="s">
        <v>15</v>
      </c>
      <c r="D175" s="19" t="s">
        <v>453</v>
      </c>
      <c r="E175" s="21" t="s">
        <v>5</v>
      </c>
      <c r="F175" s="31">
        <f>F174</f>
        <v>9.5</v>
      </c>
      <c r="G175" s="31" t="s">
        <v>626</v>
      </c>
      <c r="I175" s="20">
        <v>9.5</v>
      </c>
      <c r="J175" s="10">
        <f t="shared" si="2"/>
        <v>0</v>
      </c>
    </row>
    <row r="176" spans="1:10" x14ac:dyDescent="0.2">
      <c r="A176" s="18" t="s">
        <v>454</v>
      </c>
      <c r="B176" s="18"/>
      <c r="C176" s="18"/>
      <c r="D176" s="18" t="s">
        <v>455</v>
      </c>
      <c r="E176" s="18"/>
      <c r="F176" s="29"/>
      <c r="G176" s="28"/>
      <c r="I176" s="39"/>
      <c r="J176" s="10">
        <f t="shared" si="2"/>
        <v>0</v>
      </c>
    </row>
    <row r="177" spans="1:10" ht="25.5" x14ac:dyDescent="0.2">
      <c r="A177" s="19" t="s">
        <v>456</v>
      </c>
      <c r="B177" s="20" t="s">
        <v>449</v>
      </c>
      <c r="C177" s="19" t="s">
        <v>15</v>
      </c>
      <c r="D177" s="19" t="s">
        <v>450</v>
      </c>
      <c r="E177" s="21" t="s">
        <v>5</v>
      </c>
      <c r="F177" s="31">
        <f>[4]Acabamentos!$D$63+[4]Acabamentos!$D$64</f>
        <v>52.8</v>
      </c>
      <c r="G177" s="31" t="s">
        <v>627</v>
      </c>
      <c r="I177" s="20">
        <v>52.8</v>
      </c>
      <c r="J177" s="10">
        <f t="shared" si="2"/>
        <v>0</v>
      </c>
    </row>
    <row r="178" spans="1:10" ht="25.5" x14ac:dyDescent="0.2">
      <c r="A178" s="19" t="s">
        <v>457</v>
      </c>
      <c r="B178" s="20" t="s">
        <v>458</v>
      </c>
      <c r="C178" s="19" t="s">
        <v>15</v>
      </c>
      <c r="D178" s="19" t="s">
        <v>459</v>
      </c>
      <c r="E178" s="21" t="s">
        <v>5</v>
      </c>
      <c r="F178" s="31">
        <f>F177</f>
        <v>52.8</v>
      </c>
      <c r="G178" s="31" t="s">
        <v>627</v>
      </c>
      <c r="I178" s="20">
        <v>52.8</v>
      </c>
      <c r="J178" s="10">
        <f t="shared" si="2"/>
        <v>0</v>
      </c>
    </row>
    <row r="179" spans="1:10" ht="25.5" x14ac:dyDescent="0.2">
      <c r="A179" s="19" t="s">
        <v>460</v>
      </c>
      <c r="B179" s="20" t="s">
        <v>452</v>
      </c>
      <c r="C179" s="19" t="s">
        <v>15</v>
      </c>
      <c r="D179" s="19" t="s">
        <v>453</v>
      </c>
      <c r="E179" s="21" t="s">
        <v>5</v>
      </c>
      <c r="F179" s="31">
        <f>F177</f>
        <v>52.8</v>
      </c>
      <c r="G179" s="31" t="s">
        <v>627</v>
      </c>
      <c r="I179" s="20">
        <v>52.8</v>
      </c>
      <c r="J179" s="10">
        <f t="shared" si="2"/>
        <v>0</v>
      </c>
    </row>
    <row r="180" spans="1:10" ht="38.25" x14ac:dyDescent="0.2">
      <c r="A180" s="19" t="s">
        <v>461</v>
      </c>
      <c r="B180" s="20" t="s">
        <v>462</v>
      </c>
      <c r="C180" s="19" t="s">
        <v>15</v>
      </c>
      <c r="D180" s="19" t="s">
        <v>463</v>
      </c>
      <c r="E180" s="21" t="s">
        <v>5</v>
      </c>
      <c r="F180" s="31">
        <f>[4]Acabamentos!$D$64</f>
        <v>19.200000000000003</v>
      </c>
      <c r="G180" s="31" t="s">
        <v>627</v>
      </c>
      <c r="I180" s="20">
        <v>19.2</v>
      </c>
      <c r="J180" s="10">
        <f t="shared" si="2"/>
        <v>0</v>
      </c>
    </row>
    <row r="181" spans="1:10" ht="25.5" x14ac:dyDescent="0.2">
      <c r="A181" s="19" t="s">
        <v>464</v>
      </c>
      <c r="B181" s="20" t="s">
        <v>465</v>
      </c>
      <c r="C181" s="19" t="s">
        <v>15</v>
      </c>
      <c r="D181" s="19" t="s">
        <v>466</v>
      </c>
      <c r="E181" s="21" t="s">
        <v>78</v>
      </c>
      <c r="F181" s="31">
        <f>[4]Esquadrias!$E$30</f>
        <v>1.7599999999999998</v>
      </c>
      <c r="G181" s="31" t="s">
        <v>603</v>
      </c>
      <c r="I181" s="20">
        <v>1.76</v>
      </c>
      <c r="J181" s="10">
        <f t="shared" si="2"/>
        <v>0</v>
      </c>
    </row>
    <row r="182" spans="1:10" x14ac:dyDescent="0.2">
      <c r="A182" s="18" t="s">
        <v>467</v>
      </c>
      <c r="B182" s="18"/>
      <c r="C182" s="18"/>
      <c r="D182" s="18" t="s">
        <v>468</v>
      </c>
      <c r="E182" s="18"/>
      <c r="F182" s="29"/>
      <c r="G182" s="28"/>
      <c r="I182" s="39"/>
      <c r="J182" s="10">
        <f t="shared" si="2"/>
        <v>0</v>
      </c>
    </row>
    <row r="183" spans="1:10" ht="25.5" x14ac:dyDescent="0.2">
      <c r="A183" s="19" t="s">
        <v>469</v>
      </c>
      <c r="B183" s="20" t="s">
        <v>449</v>
      </c>
      <c r="C183" s="19" t="s">
        <v>15</v>
      </c>
      <c r="D183" s="19" t="s">
        <v>450</v>
      </c>
      <c r="E183" s="21" t="s">
        <v>5</v>
      </c>
      <c r="F183" s="31">
        <f>[4]Fachadas!$C$10</f>
        <v>110.61750000000001</v>
      </c>
      <c r="G183" s="31" t="s">
        <v>628</v>
      </c>
      <c r="I183" s="20">
        <v>110.62</v>
      </c>
      <c r="J183" s="10">
        <f t="shared" si="2"/>
        <v>2.4999999999977263E-3</v>
      </c>
    </row>
    <row r="184" spans="1:10" ht="25.5" x14ac:dyDescent="0.2">
      <c r="A184" s="19" t="s">
        <v>470</v>
      </c>
      <c r="B184" s="20" t="s">
        <v>458</v>
      </c>
      <c r="C184" s="19" t="s">
        <v>15</v>
      </c>
      <c r="D184" s="19" t="s">
        <v>459</v>
      </c>
      <c r="E184" s="21" t="s">
        <v>5</v>
      </c>
      <c r="F184" s="31">
        <f>F183</f>
        <v>110.61750000000001</v>
      </c>
      <c r="G184" s="31" t="s">
        <v>628</v>
      </c>
      <c r="I184" s="20">
        <v>110.62</v>
      </c>
      <c r="J184" s="10">
        <f t="shared" si="2"/>
        <v>2.4999999999977263E-3</v>
      </c>
    </row>
    <row r="185" spans="1:10" ht="25.5" x14ac:dyDescent="0.2">
      <c r="A185" s="19" t="s">
        <v>471</v>
      </c>
      <c r="B185" s="20" t="s">
        <v>452</v>
      </c>
      <c r="C185" s="19" t="s">
        <v>15</v>
      </c>
      <c r="D185" s="19" t="s">
        <v>453</v>
      </c>
      <c r="E185" s="21" t="s">
        <v>5</v>
      </c>
      <c r="F185" s="31">
        <f>F183</f>
        <v>110.61750000000001</v>
      </c>
      <c r="G185" s="31" t="s">
        <v>628</v>
      </c>
      <c r="I185" s="20">
        <v>110.62</v>
      </c>
      <c r="J185" s="10">
        <f t="shared" si="2"/>
        <v>2.4999999999977263E-3</v>
      </c>
    </row>
    <row r="186" spans="1:10" x14ac:dyDescent="0.2">
      <c r="A186" s="18" t="s">
        <v>472</v>
      </c>
      <c r="B186" s="18"/>
      <c r="C186" s="18"/>
      <c r="D186" s="18" t="s">
        <v>473</v>
      </c>
      <c r="E186" s="18"/>
      <c r="F186" s="29"/>
      <c r="G186" s="28"/>
      <c r="I186" s="39"/>
      <c r="J186" s="10">
        <f t="shared" si="2"/>
        <v>0</v>
      </c>
    </row>
    <row r="187" spans="1:10" x14ac:dyDescent="0.2">
      <c r="A187" s="18" t="s">
        <v>474</v>
      </c>
      <c r="B187" s="18"/>
      <c r="C187" s="18"/>
      <c r="D187" s="18" t="s">
        <v>475</v>
      </c>
      <c r="E187" s="18"/>
      <c r="F187" s="29"/>
      <c r="G187" s="28"/>
      <c r="I187" s="39"/>
      <c r="J187" s="10">
        <f t="shared" si="2"/>
        <v>0</v>
      </c>
    </row>
    <row r="188" spans="1:10" ht="38.25" x14ac:dyDescent="0.2">
      <c r="A188" s="19" t="s">
        <v>476</v>
      </c>
      <c r="B188" s="20" t="s">
        <v>477</v>
      </c>
      <c r="C188" s="19" t="s">
        <v>31</v>
      </c>
      <c r="D188" s="19" t="s">
        <v>478</v>
      </c>
      <c r="E188" s="21" t="s">
        <v>5</v>
      </c>
      <c r="F188" s="31">
        <f>[4]Acabamentos!$D$10</f>
        <v>9.5</v>
      </c>
      <c r="G188" s="31" t="s">
        <v>629</v>
      </c>
      <c r="I188" s="20">
        <v>9.5</v>
      </c>
      <c r="J188" s="10">
        <f t="shared" si="2"/>
        <v>0</v>
      </c>
    </row>
    <row r="189" spans="1:10" ht="25.5" x14ac:dyDescent="0.2">
      <c r="A189" s="19" t="s">
        <v>479</v>
      </c>
      <c r="B189" s="20" t="s">
        <v>480</v>
      </c>
      <c r="C189" s="19" t="s">
        <v>15</v>
      </c>
      <c r="D189" s="19" t="s">
        <v>481</v>
      </c>
      <c r="E189" s="21" t="s">
        <v>5</v>
      </c>
      <c r="F189" s="31">
        <f>F188</f>
        <v>9.5</v>
      </c>
      <c r="G189" s="31" t="s">
        <v>627</v>
      </c>
      <c r="I189" s="20">
        <v>9.5</v>
      </c>
      <c r="J189" s="10">
        <f t="shared" si="2"/>
        <v>0</v>
      </c>
    </row>
    <row r="190" spans="1:10" ht="25.5" x14ac:dyDescent="0.2">
      <c r="A190" s="19" t="s">
        <v>482</v>
      </c>
      <c r="B190" s="20" t="s">
        <v>483</v>
      </c>
      <c r="C190" s="19" t="s">
        <v>15</v>
      </c>
      <c r="D190" s="19" t="s">
        <v>484</v>
      </c>
      <c r="E190" s="21" t="s">
        <v>134</v>
      </c>
      <c r="F190" s="31">
        <f>F188*0.97</f>
        <v>9.2149999999999999</v>
      </c>
      <c r="G190" s="31" t="s">
        <v>630</v>
      </c>
      <c r="I190" s="20">
        <v>9.2200000000000006</v>
      </c>
      <c r="J190" s="10">
        <f t="shared" si="2"/>
        <v>5.0000000000007816E-3</v>
      </c>
    </row>
    <row r="191" spans="1:10" ht="38.25" x14ac:dyDescent="0.2">
      <c r="A191" s="19" t="s">
        <v>485</v>
      </c>
      <c r="B191" s="20" t="s">
        <v>462</v>
      </c>
      <c r="C191" s="19" t="s">
        <v>15</v>
      </c>
      <c r="D191" s="19" t="s">
        <v>463</v>
      </c>
      <c r="E191" s="21" t="s">
        <v>5</v>
      </c>
      <c r="F191" s="31">
        <f>F188</f>
        <v>9.5</v>
      </c>
      <c r="G191" s="31" t="s">
        <v>629</v>
      </c>
      <c r="I191" s="20">
        <v>9.5</v>
      </c>
      <c r="J191" s="10">
        <f t="shared" si="2"/>
        <v>0</v>
      </c>
    </row>
    <row r="192" spans="1:10" ht="25.5" x14ac:dyDescent="0.2">
      <c r="A192" s="19" t="s">
        <v>486</v>
      </c>
      <c r="B192" s="20" t="s">
        <v>465</v>
      </c>
      <c r="C192" s="19" t="s">
        <v>15</v>
      </c>
      <c r="D192" s="19" t="s">
        <v>466</v>
      </c>
      <c r="E192" s="21" t="s">
        <v>78</v>
      </c>
      <c r="F192" s="31">
        <f>[4]Esquadrias!$E$38</f>
        <v>5.14</v>
      </c>
      <c r="G192" s="31" t="s">
        <v>603</v>
      </c>
      <c r="I192" s="20">
        <v>5.14</v>
      </c>
      <c r="J192" s="10">
        <f t="shared" si="2"/>
        <v>0</v>
      </c>
    </row>
    <row r="193" spans="1:10" x14ac:dyDescent="0.2">
      <c r="A193" s="18" t="s">
        <v>487</v>
      </c>
      <c r="B193" s="18"/>
      <c r="C193" s="18"/>
      <c r="D193" s="18" t="s">
        <v>488</v>
      </c>
      <c r="E193" s="18"/>
      <c r="F193" s="29">
        <v>164</v>
      </c>
      <c r="G193" s="28"/>
      <c r="I193" s="39"/>
      <c r="J193" s="10"/>
    </row>
    <row r="194" spans="1:10" ht="25.5" x14ac:dyDescent="0.2">
      <c r="A194" s="19" t="s">
        <v>489</v>
      </c>
      <c r="B194" s="20" t="s">
        <v>490</v>
      </c>
      <c r="C194" s="19" t="s">
        <v>15</v>
      </c>
      <c r="D194" s="19" t="s">
        <v>491</v>
      </c>
      <c r="E194" s="21" t="s">
        <v>50</v>
      </c>
      <c r="F194" s="31">
        <f>F193*0.3</f>
        <v>49.199999999999996</v>
      </c>
      <c r="G194" s="31" t="s">
        <v>632</v>
      </c>
      <c r="I194" s="20">
        <v>49.2</v>
      </c>
      <c r="J194" s="10">
        <f t="shared" si="2"/>
        <v>0</v>
      </c>
    </row>
    <row r="195" spans="1:10" ht="25.5" x14ac:dyDescent="0.2">
      <c r="A195" s="19" t="s">
        <v>492</v>
      </c>
      <c r="B195" s="20" t="s">
        <v>129</v>
      </c>
      <c r="C195" s="19" t="s">
        <v>15</v>
      </c>
      <c r="D195" s="19" t="s">
        <v>130</v>
      </c>
      <c r="E195" s="21" t="s">
        <v>50</v>
      </c>
      <c r="F195" s="31">
        <f>F193*0.05</f>
        <v>8.2000000000000011</v>
      </c>
      <c r="G195" s="31" t="s">
        <v>633</v>
      </c>
      <c r="I195" s="20">
        <v>8.1999999999999993</v>
      </c>
      <c r="J195" s="10">
        <f t="shared" si="2"/>
        <v>0</v>
      </c>
    </row>
    <row r="196" spans="1:10" ht="25.5" x14ac:dyDescent="0.2">
      <c r="A196" s="19" t="s">
        <v>493</v>
      </c>
      <c r="B196" s="20" t="s">
        <v>483</v>
      </c>
      <c r="C196" s="19" t="s">
        <v>15</v>
      </c>
      <c r="D196" s="19" t="s">
        <v>484</v>
      </c>
      <c r="E196" s="21" t="s">
        <v>134</v>
      </c>
      <c r="F196" s="31">
        <f>F193*0.97</f>
        <v>159.07999999999998</v>
      </c>
      <c r="G196" s="31" t="s">
        <v>634</v>
      </c>
      <c r="I196" s="20">
        <v>159.08000000000001</v>
      </c>
      <c r="J196" s="10">
        <f t="shared" si="2"/>
        <v>0</v>
      </c>
    </row>
    <row r="197" spans="1:10" ht="25.5" x14ac:dyDescent="0.2">
      <c r="A197" s="19" t="s">
        <v>494</v>
      </c>
      <c r="B197" s="20" t="s">
        <v>136</v>
      </c>
      <c r="C197" s="19" t="s">
        <v>15</v>
      </c>
      <c r="D197" s="19" t="s">
        <v>137</v>
      </c>
      <c r="E197" s="21" t="s">
        <v>50</v>
      </c>
      <c r="F197" s="31">
        <f>F193*0.06</f>
        <v>9.84</v>
      </c>
      <c r="G197" s="31" t="s">
        <v>635</v>
      </c>
      <c r="I197" s="20">
        <v>9.84</v>
      </c>
      <c r="J197" s="10">
        <f t="shared" si="2"/>
        <v>0</v>
      </c>
    </row>
    <row r="198" spans="1:10" ht="25.5" x14ac:dyDescent="0.2">
      <c r="A198" s="19" t="s">
        <v>495</v>
      </c>
      <c r="B198" s="20" t="s">
        <v>156</v>
      </c>
      <c r="C198" s="19" t="s">
        <v>15</v>
      </c>
      <c r="D198" s="19" t="s">
        <v>157</v>
      </c>
      <c r="E198" s="21" t="s">
        <v>50</v>
      </c>
      <c r="F198" s="31">
        <f>F197</f>
        <v>9.84</v>
      </c>
      <c r="G198" s="31" t="s">
        <v>599</v>
      </c>
      <c r="I198" s="20">
        <v>9.84</v>
      </c>
      <c r="J198" s="10">
        <f t="shared" si="2"/>
        <v>0</v>
      </c>
    </row>
    <row r="199" spans="1:10" ht="25.5" x14ac:dyDescent="0.2">
      <c r="A199" s="19" t="s">
        <v>496</v>
      </c>
      <c r="B199" s="20" t="s">
        <v>497</v>
      </c>
      <c r="C199" s="19" t="s">
        <v>15</v>
      </c>
      <c r="D199" s="19" t="s">
        <v>498</v>
      </c>
      <c r="E199" s="21" t="s">
        <v>78</v>
      </c>
      <c r="F199" s="31">
        <f>F193*0.4</f>
        <v>65.600000000000009</v>
      </c>
      <c r="G199" s="31" t="s">
        <v>636</v>
      </c>
      <c r="I199" s="20">
        <v>65.599999999999994</v>
      </c>
      <c r="J199" s="10">
        <f t="shared" si="2"/>
        <v>0</v>
      </c>
    </row>
    <row r="200" spans="1:10" ht="25.5" x14ac:dyDescent="0.2">
      <c r="A200" s="19" t="s">
        <v>499</v>
      </c>
      <c r="B200" s="20" t="s">
        <v>500</v>
      </c>
      <c r="C200" s="19" t="s">
        <v>15</v>
      </c>
      <c r="D200" s="19" t="s">
        <v>501</v>
      </c>
      <c r="E200" s="21" t="s">
        <v>5</v>
      </c>
      <c r="F200" s="31">
        <f>F193</f>
        <v>164</v>
      </c>
      <c r="G200" s="31" t="s">
        <v>631</v>
      </c>
      <c r="I200" s="20">
        <v>164</v>
      </c>
      <c r="J200" s="10">
        <f t="shared" si="2"/>
        <v>0</v>
      </c>
    </row>
    <row r="201" spans="1:10" ht="38.25" x14ac:dyDescent="0.2">
      <c r="A201" s="19" t="s">
        <v>502</v>
      </c>
      <c r="B201" s="20" t="s">
        <v>503</v>
      </c>
      <c r="C201" s="19" t="s">
        <v>31</v>
      </c>
      <c r="D201" s="19" t="s">
        <v>504</v>
      </c>
      <c r="E201" s="21" t="s">
        <v>78</v>
      </c>
      <c r="F201" s="31">
        <f>8.35+8.1+3.45+6.75+10.35</f>
        <v>37</v>
      </c>
      <c r="G201" s="31" t="s">
        <v>638</v>
      </c>
      <c r="I201" s="20">
        <v>37</v>
      </c>
      <c r="J201" s="10">
        <f t="shared" ref="J201:J268" si="3">I201-F201</f>
        <v>0</v>
      </c>
    </row>
    <row r="202" spans="1:10" ht="38.25" x14ac:dyDescent="0.2">
      <c r="A202" s="19" t="s">
        <v>505</v>
      </c>
      <c r="B202" s="20" t="s">
        <v>506</v>
      </c>
      <c r="C202" s="19" t="s">
        <v>31</v>
      </c>
      <c r="D202" s="19" t="s">
        <v>507</v>
      </c>
      <c r="E202" s="21" t="s">
        <v>78</v>
      </c>
      <c r="F202" s="31">
        <v>117</v>
      </c>
      <c r="G202" s="31" t="s">
        <v>637</v>
      </c>
      <c r="I202" s="20">
        <v>117</v>
      </c>
      <c r="J202" s="10">
        <f t="shared" si="3"/>
        <v>0</v>
      </c>
    </row>
    <row r="203" spans="1:10" x14ac:dyDescent="0.2">
      <c r="A203" s="18" t="s">
        <v>508</v>
      </c>
      <c r="B203" s="18"/>
      <c r="C203" s="18"/>
      <c r="D203" s="18" t="s">
        <v>509</v>
      </c>
      <c r="E203" s="18"/>
      <c r="F203" s="29">
        <v>189</v>
      </c>
      <c r="G203" s="28"/>
      <c r="I203" s="39"/>
      <c r="J203" s="10"/>
    </row>
    <row r="204" spans="1:10" x14ac:dyDescent="0.2">
      <c r="A204" s="19" t="s">
        <v>510</v>
      </c>
      <c r="B204" s="20" t="s">
        <v>511</v>
      </c>
      <c r="C204" s="19" t="s">
        <v>15</v>
      </c>
      <c r="D204" s="19" t="s">
        <v>512</v>
      </c>
      <c r="E204" s="21" t="s">
        <v>50</v>
      </c>
      <c r="F204" s="31">
        <f>F203*0.1</f>
        <v>18.900000000000002</v>
      </c>
      <c r="G204" s="31" t="s">
        <v>642</v>
      </c>
      <c r="I204" s="20">
        <v>18.899999999999999</v>
      </c>
      <c r="J204" s="10">
        <f t="shared" si="3"/>
        <v>0</v>
      </c>
    </row>
    <row r="205" spans="1:10" x14ac:dyDescent="0.2">
      <c r="A205" s="19" t="s">
        <v>513</v>
      </c>
      <c r="B205" s="20" t="s">
        <v>514</v>
      </c>
      <c r="C205" s="19" t="s">
        <v>275</v>
      </c>
      <c r="D205" s="19" t="s">
        <v>515</v>
      </c>
      <c r="E205" s="21" t="s">
        <v>5</v>
      </c>
      <c r="F205" s="31">
        <f>F203</f>
        <v>189</v>
      </c>
      <c r="G205" s="31" t="s">
        <v>643</v>
      </c>
      <c r="I205" s="20">
        <v>189</v>
      </c>
      <c r="J205" s="10">
        <f t="shared" si="3"/>
        <v>0</v>
      </c>
    </row>
    <row r="206" spans="1:10" x14ac:dyDescent="0.2">
      <c r="A206" s="19" t="s">
        <v>516</v>
      </c>
      <c r="B206" s="20" t="s">
        <v>517</v>
      </c>
      <c r="C206" s="19" t="s">
        <v>15</v>
      </c>
      <c r="D206" s="19" t="s">
        <v>518</v>
      </c>
      <c r="E206" s="21" t="s">
        <v>50</v>
      </c>
      <c r="F206" s="31">
        <f>19*2*0.15</f>
        <v>5.7</v>
      </c>
      <c r="G206" s="31" t="s">
        <v>778</v>
      </c>
      <c r="I206" s="20">
        <v>5.7</v>
      </c>
      <c r="J206" s="10">
        <f t="shared" si="3"/>
        <v>0</v>
      </c>
    </row>
    <row r="207" spans="1:10" x14ac:dyDescent="0.2">
      <c r="A207" s="18" t="s">
        <v>519</v>
      </c>
      <c r="B207" s="18"/>
      <c r="C207" s="18"/>
      <c r="D207" s="18" t="s">
        <v>520</v>
      </c>
      <c r="E207" s="18"/>
      <c r="F207" s="29"/>
      <c r="G207" s="28"/>
      <c r="I207" s="39"/>
      <c r="J207" s="10">
        <f t="shared" si="3"/>
        <v>0</v>
      </c>
    </row>
    <row r="208" spans="1:10" ht="38.25" x14ac:dyDescent="0.2">
      <c r="A208" s="19" t="s">
        <v>521</v>
      </c>
      <c r="B208" s="20" t="s">
        <v>522</v>
      </c>
      <c r="C208" s="19" t="s">
        <v>15</v>
      </c>
      <c r="D208" s="19" t="s">
        <v>523</v>
      </c>
      <c r="E208" s="21" t="s">
        <v>5</v>
      </c>
      <c r="F208" s="31">
        <f>[4]Acabamentos!$D$63+[4]Acabamentos!$D$120+[4]Fachadas!$C$10</f>
        <v>153.7175</v>
      </c>
      <c r="G208" s="31" t="s">
        <v>644</v>
      </c>
      <c r="I208" s="20">
        <v>153.72</v>
      </c>
      <c r="J208" s="10">
        <f t="shared" si="3"/>
        <v>2.4999999999977263E-3</v>
      </c>
    </row>
    <row r="209" spans="1:10" ht="25.5" x14ac:dyDescent="0.2">
      <c r="A209" s="19" t="s">
        <v>524</v>
      </c>
      <c r="B209" s="20" t="s">
        <v>525</v>
      </c>
      <c r="C209" s="19" t="s">
        <v>15</v>
      </c>
      <c r="D209" s="19" t="s">
        <v>526</v>
      </c>
      <c r="E209" s="21" t="s">
        <v>5</v>
      </c>
      <c r="F209" s="31">
        <f>[4]Esquadrias!$E$10</f>
        <v>6.0720000000000001</v>
      </c>
      <c r="G209" s="31" t="s">
        <v>603</v>
      </c>
      <c r="I209" s="20">
        <v>6.07</v>
      </c>
      <c r="J209" s="10">
        <f t="shared" si="3"/>
        <v>-1.9999999999997797E-3</v>
      </c>
    </row>
    <row r="210" spans="1:10" ht="25.5" x14ac:dyDescent="0.2">
      <c r="A210" s="19" t="s">
        <v>663</v>
      </c>
      <c r="B210" s="20" t="s">
        <v>694</v>
      </c>
      <c r="C210" s="19" t="s">
        <v>15</v>
      </c>
      <c r="D210" s="19" t="s">
        <v>695</v>
      </c>
      <c r="E210" s="21" t="s">
        <v>5</v>
      </c>
      <c r="F210" s="31">
        <f>[4]Esquadrias!$E$8</f>
        <v>3.7884000000000002</v>
      </c>
      <c r="G210" s="31" t="s">
        <v>603</v>
      </c>
      <c r="I210" s="20">
        <v>3.79</v>
      </c>
      <c r="J210" s="10">
        <f t="shared" si="3"/>
        <v>1.5999999999998238E-3</v>
      </c>
    </row>
    <row r="211" spans="1:10" ht="25.5" x14ac:dyDescent="0.2">
      <c r="A211" s="19" t="s">
        <v>772</v>
      </c>
      <c r="B211" s="20" t="s">
        <v>773</v>
      </c>
      <c r="C211" s="19" t="s">
        <v>15</v>
      </c>
      <c r="D211" s="19" t="s">
        <v>774</v>
      </c>
      <c r="E211" s="21" t="s">
        <v>134</v>
      </c>
      <c r="F211" s="31">
        <f>F73-1860</f>
        <v>1762.1999999999998</v>
      </c>
      <c r="G211" s="31" t="s">
        <v>771</v>
      </c>
      <c r="I211" s="20">
        <v>1762.2</v>
      </c>
      <c r="J211" s="10">
        <f t="shared" si="3"/>
        <v>0</v>
      </c>
    </row>
    <row r="212" spans="1:10" x14ac:dyDescent="0.2">
      <c r="A212" s="18" t="s">
        <v>527</v>
      </c>
      <c r="B212" s="18"/>
      <c r="C212" s="18"/>
      <c r="D212" s="18" t="s">
        <v>528</v>
      </c>
      <c r="E212" s="18"/>
      <c r="F212" s="29"/>
      <c r="G212" s="28"/>
      <c r="I212" s="39"/>
      <c r="J212" s="10">
        <f t="shared" si="3"/>
        <v>0</v>
      </c>
    </row>
    <row r="213" spans="1:10" x14ac:dyDescent="0.2">
      <c r="A213" s="18" t="s">
        <v>529</v>
      </c>
      <c r="B213" s="18"/>
      <c r="C213" s="18"/>
      <c r="D213" s="18" t="s">
        <v>108</v>
      </c>
      <c r="E213" s="18"/>
      <c r="F213" s="29"/>
      <c r="G213" s="28"/>
      <c r="I213" s="39"/>
      <c r="J213" s="10">
        <f t="shared" si="3"/>
        <v>0</v>
      </c>
    </row>
    <row r="214" spans="1:10" ht="25.5" x14ac:dyDescent="0.2">
      <c r="A214" s="19" t="s">
        <v>530</v>
      </c>
      <c r="B214" s="20" t="s">
        <v>110</v>
      </c>
      <c r="C214" s="19" t="s">
        <v>15</v>
      </c>
      <c r="D214" s="19" t="s">
        <v>111</v>
      </c>
      <c r="E214" s="21" t="s">
        <v>78</v>
      </c>
      <c r="F214" s="31">
        <f>'[4]Estacas Mureta'!$F$11</f>
        <v>123</v>
      </c>
      <c r="G214" s="31" t="s">
        <v>645</v>
      </c>
      <c r="I214" s="20">
        <v>123</v>
      </c>
      <c r="J214" s="10">
        <f t="shared" si="3"/>
        <v>0</v>
      </c>
    </row>
    <row r="215" spans="1:10" x14ac:dyDescent="0.2">
      <c r="A215" s="19" t="s">
        <v>664</v>
      </c>
      <c r="B215" s="20" t="s">
        <v>132</v>
      </c>
      <c r="C215" s="19" t="s">
        <v>15</v>
      </c>
      <c r="D215" s="19" t="s">
        <v>133</v>
      </c>
      <c r="E215" s="21" t="s">
        <v>134</v>
      </c>
      <c r="F215" s="31">
        <v>123</v>
      </c>
      <c r="G215" s="31" t="s">
        <v>585</v>
      </c>
      <c r="I215" s="20">
        <v>123</v>
      </c>
      <c r="J215" s="10">
        <f t="shared" si="3"/>
        <v>0</v>
      </c>
    </row>
    <row r="216" spans="1:10" x14ac:dyDescent="0.2">
      <c r="A216" s="18" t="s">
        <v>531</v>
      </c>
      <c r="B216" s="18"/>
      <c r="C216" s="18"/>
      <c r="D216" s="18" t="s">
        <v>532</v>
      </c>
      <c r="E216" s="18"/>
      <c r="F216" s="29">
        <v>102.5</v>
      </c>
      <c r="G216" s="28"/>
      <c r="I216" s="39"/>
      <c r="J216" s="10"/>
    </row>
    <row r="217" spans="1:10" ht="25.5" x14ac:dyDescent="0.2">
      <c r="A217" s="19" t="s">
        <v>533</v>
      </c>
      <c r="B217" s="20" t="s">
        <v>120</v>
      </c>
      <c r="C217" s="19" t="s">
        <v>15</v>
      </c>
      <c r="D217" s="19" t="s">
        <v>121</v>
      </c>
      <c r="E217" s="21" t="s">
        <v>50</v>
      </c>
      <c r="F217" s="10">
        <f>'[4]Vb bloco  mureta'!$H$15</f>
        <v>19.331249999999997</v>
      </c>
      <c r="G217" s="31" t="s">
        <v>646</v>
      </c>
      <c r="I217" s="20">
        <v>19.329999999999998</v>
      </c>
      <c r="J217" s="10">
        <f t="shared" si="3"/>
        <v>-1.2499999999988631E-3</v>
      </c>
    </row>
    <row r="218" spans="1:10" ht="25.5" x14ac:dyDescent="0.2">
      <c r="A218" s="19" t="s">
        <v>534</v>
      </c>
      <c r="B218" s="20" t="s">
        <v>123</v>
      </c>
      <c r="C218" s="19" t="s">
        <v>31</v>
      </c>
      <c r="D218" s="19" t="s">
        <v>124</v>
      </c>
      <c r="E218" s="21" t="s">
        <v>5</v>
      </c>
      <c r="F218" s="31">
        <f>'[4]Vb bloco  mureta'!$I$15</f>
        <v>35.875</v>
      </c>
      <c r="G218" s="31" t="s">
        <v>646</v>
      </c>
      <c r="I218" s="20">
        <v>35.880000000000003</v>
      </c>
      <c r="J218" s="10">
        <f t="shared" si="3"/>
        <v>5.000000000002558E-3</v>
      </c>
    </row>
    <row r="219" spans="1:10" ht="25.5" x14ac:dyDescent="0.2">
      <c r="A219" s="19" t="s">
        <v>535</v>
      </c>
      <c r="B219" s="20" t="s">
        <v>536</v>
      </c>
      <c r="C219" s="19" t="s">
        <v>15</v>
      </c>
      <c r="D219" s="19" t="s">
        <v>537</v>
      </c>
      <c r="E219" s="21" t="s">
        <v>50</v>
      </c>
      <c r="F219" s="31">
        <f>'[4]Vb bloco  mureta'!$N$15</f>
        <v>56.375000000000007</v>
      </c>
      <c r="G219" s="31" t="s">
        <v>646</v>
      </c>
      <c r="I219" s="20">
        <v>56.38</v>
      </c>
      <c r="J219" s="10">
        <f t="shared" si="3"/>
        <v>4.9999999999954525E-3</v>
      </c>
    </row>
    <row r="220" spans="1:10" ht="38.25" x14ac:dyDescent="0.2">
      <c r="A220" s="19" t="s">
        <v>538</v>
      </c>
      <c r="B220" s="20" t="s">
        <v>539</v>
      </c>
      <c r="C220" s="19" t="s">
        <v>15</v>
      </c>
      <c r="D220" s="19" t="s">
        <v>540</v>
      </c>
      <c r="E220" s="21" t="s">
        <v>5</v>
      </c>
      <c r="F220" s="31">
        <f>'[4]Alvenarias e Fechamentos'!$D$10</f>
        <v>61.5</v>
      </c>
      <c r="G220" s="31" t="s">
        <v>601</v>
      </c>
      <c r="I220" s="20">
        <v>61.5</v>
      </c>
      <c r="J220" s="10">
        <f t="shared" si="3"/>
        <v>0</v>
      </c>
    </row>
    <row r="221" spans="1:10" x14ac:dyDescent="0.2">
      <c r="A221" s="19" t="s">
        <v>541</v>
      </c>
      <c r="B221" s="20" t="s">
        <v>132</v>
      </c>
      <c r="C221" s="19" t="s">
        <v>15</v>
      </c>
      <c r="D221" s="19" t="s">
        <v>133</v>
      </c>
      <c r="E221" s="21" t="s">
        <v>134</v>
      </c>
      <c r="F221" s="37">
        <v>434</v>
      </c>
      <c r="G221" s="31" t="s">
        <v>585</v>
      </c>
      <c r="I221" s="20">
        <v>434</v>
      </c>
      <c r="J221" s="10">
        <f t="shared" si="3"/>
        <v>0</v>
      </c>
    </row>
    <row r="222" spans="1:10" ht="25.5" x14ac:dyDescent="0.2">
      <c r="A222" s="19" t="s">
        <v>542</v>
      </c>
      <c r="B222" s="20" t="s">
        <v>169</v>
      </c>
      <c r="C222" s="19" t="s">
        <v>15</v>
      </c>
      <c r="D222" s="19" t="s">
        <v>170</v>
      </c>
      <c r="E222" s="21" t="s">
        <v>50</v>
      </c>
      <c r="F222" s="31">
        <f>'[4]Grout MURETA'!$F$14</f>
        <v>3.8283750000000003</v>
      </c>
      <c r="G222" s="31" t="s">
        <v>647</v>
      </c>
      <c r="I222" s="20">
        <v>3.83</v>
      </c>
      <c r="J222" s="10">
        <f t="shared" si="3"/>
        <v>1.6249999999997655E-3</v>
      </c>
    </row>
    <row r="223" spans="1:10" ht="25.5" x14ac:dyDescent="0.2">
      <c r="A223" s="19" t="s">
        <v>543</v>
      </c>
      <c r="B223" s="20" t="s">
        <v>544</v>
      </c>
      <c r="C223" s="19" t="s">
        <v>15</v>
      </c>
      <c r="D223" s="19" t="s">
        <v>545</v>
      </c>
      <c r="E223" s="21" t="s">
        <v>5</v>
      </c>
      <c r="F223" s="31">
        <f>F216*2.05</f>
        <v>210.12499999999997</v>
      </c>
      <c r="G223" s="31" t="s">
        <v>648</v>
      </c>
      <c r="I223" s="20">
        <v>210.13</v>
      </c>
      <c r="J223" s="10">
        <f t="shared" si="3"/>
        <v>5.0000000000238742E-3</v>
      </c>
    </row>
    <row r="224" spans="1:10" ht="25.5" x14ac:dyDescent="0.2">
      <c r="A224" s="19" t="s">
        <v>546</v>
      </c>
      <c r="B224" s="20" t="s">
        <v>547</v>
      </c>
      <c r="C224" s="19" t="s">
        <v>15</v>
      </c>
      <c r="D224" s="19" t="s">
        <v>548</v>
      </c>
      <c r="E224" s="21" t="s">
        <v>32</v>
      </c>
      <c r="F224" s="31">
        <f>F216*2</f>
        <v>205</v>
      </c>
      <c r="G224" s="31" t="s">
        <v>649</v>
      </c>
      <c r="I224" s="20">
        <v>205</v>
      </c>
      <c r="J224" s="10">
        <f t="shared" si="3"/>
        <v>0</v>
      </c>
    </row>
    <row r="225" spans="1:10" ht="25.5" x14ac:dyDescent="0.2">
      <c r="A225" s="19" t="s">
        <v>549</v>
      </c>
      <c r="B225" s="20" t="s">
        <v>452</v>
      </c>
      <c r="C225" s="19" t="s">
        <v>15</v>
      </c>
      <c r="D225" s="19" t="s">
        <v>453</v>
      </c>
      <c r="E225" s="21" t="s">
        <v>5</v>
      </c>
      <c r="F225" s="31">
        <f>F216*0.4*2</f>
        <v>82</v>
      </c>
      <c r="G225" s="31" t="s">
        <v>650</v>
      </c>
      <c r="I225" s="20">
        <v>82</v>
      </c>
      <c r="J225" s="10">
        <f t="shared" si="3"/>
        <v>0</v>
      </c>
    </row>
    <row r="226" spans="1:10" x14ac:dyDescent="0.2">
      <c r="A226" s="19" t="s">
        <v>550</v>
      </c>
      <c r="B226" s="20" t="s">
        <v>458</v>
      </c>
      <c r="C226" s="19" t="s">
        <v>15</v>
      </c>
      <c r="D226" s="19" t="s">
        <v>459</v>
      </c>
      <c r="E226" s="21" t="s">
        <v>5</v>
      </c>
      <c r="F226" s="31">
        <f>F225</f>
        <v>82</v>
      </c>
      <c r="G226" s="31" t="s">
        <v>651</v>
      </c>
      <c r="I226" s="20">
        <v>82</v>
      </c>
      <c r="J226" s="10">
        <f t="shared" si="3"/>
        <v>0</v>
      </c>
    </row>
    <row r="227" spans="1:10" x14ac:dyDescent="0.2">
      <c r="A227" s="19" t="s">
        <v>551</v>
      </c>
      <c r="B227" s="20" t="s">
        <v>449</v>
      </c>
      <c r="C227" s="19" t="s">
        <v>15</v>
      </c>
      <c r="D227" s="19" t="s">
        <v>450</v>
      </c>
      <c r="E227" s="21" t="s">
        <v>5</v>
      </c>
      <c r="F227" s="31">
        <f>F226</f>
        <v>82</v>
      </c>
      <c r="G227" s="31" t="str">
        <f>G226</f>
        <v>mesma área de reboco</v>
      </c>
      <c r="I227" s="20">
        <v>82</v>
      </c>
      <c r="J227" s="10">
        <f t="shared" si="3"/>
        <v>0</v>
      </c>
    </row>
    <row r="228" spans="1:10" x14ac:dyDescent="0.2">
      <c r="A228" s="19" t="s">
        <v>552</v>
      </c>
      <c r="B228" s="20" t="s">
        <v>522</v>
      </c>
      <c r="C228" s="19" t="s">
        <v>15</v>
      </c>
      <c r="D228" s="19" t="s">
        <v>523</v>
      </c>
      <c r="E228" s="21" t="s">
        <v>5</v>
      </c>
      <c r="F228" s="31">
        <f>F227</f>
        <v>82</v>
      </c>
      <c r="G228" s="31" t="str">
        <f>G227</f>
        <v>mesma área de reboco</v>
      </c>
      <c r="I228" s="20">
        <v>82</v>
      </c>
      <c r="J228" s="10">
        <f t="shared" si="3"/>
        <v>0</v>
      </c>
    </row>
    <row r="229" spans="1:10" x14ac:dyDescent="0.2">
      <c r="A229" s="18" t="s">
        <v>553</v>
      </c>
      <c r="B229" s="18"/>
      <c r="C229" s="18"/>
      <c r="D229" s="18" t="s">
        <v>554</v>
      </c>
      <c r="E229" s="18"/>
      <c r="F229" s="29"/>
      <c r="G229" s="28"/>
      <c r="I229" s="39"/>
      <c r="J229" s="10">
        <f t="shared" si="3"/>
        <v>0</v>
      </c>
    </row>
    <row r="230" spans="1:10" ht="38.25" x14ac:dyDescent="0.2">
      <c r="A230" s="19" t="s">
        <v>555</v>
      </c>
      <c r="B230" s="20" t="s">
        <v>145</v>
      </c>
      <c r="C230" s="19" t="s">
        <v>15</v>
      </c>
      <c r="D230" s="19" t="s">
        <v>146</v>
      </c>
      <c r="E230" s="21" t="s">
        <v>50</v>
      </c>
      <c r="F230" s="31">
        <f>'[4]Vb bloco  mureta'!$O$15+'[4]Vb bloco  mureta'!$O$15</f>
        <v>28.924999999999997</v>
      </c>
      <c r="G230" s="31" t="s">
        <v>656</v>
      </c>
      <c r="I230" s="20">
        <v>28.93</v>
      </c>
      <c r="J230" s="10">
        <f t="shared" si="3"/>
        <v>5.000000000002558E-3</v>
      </c>
    </row>
    <row r="231" spans="1:10" ht="38.25" x14ac:dyDescent="0.2">
      <c r="A231" s="19" t="s">
        <v>556</v>
      </c>
      <c r="B231" s="20" t="s">
        <v>148</v>
      </c>
      <c r="C231" s="19" t="s">
        <v>15</v>
      </c>
      <c r="D231" s="19" t="s">
        <v>149</v>
      </c>
      <c r="E231" s="21" t="s">
        <v>50</v>
      </c>
      <c r="F231" s="31">
        <f>'[4]Vb bloco  mureta'!$P$15+'[4]Vb bloco  mureta'!$P$15</f>
        <v>12.658749999999996</v>
      </c>
      <c r="G231" s="31" t="s">
        <v>656</v>
      </c>
      <c r="I231" s="20">
        <v>12.66</v>
      </c>
      <c r="J231" s="10">
        <f t="shared" si="3"/>
        <v>1.2500000000041922E-3</v>
      </c>
    </row>
    <row r="232" spans="1:10" x14ac:dyDescent="0.2">
      <c r="A232" s="18" t="s">
        <v>557</v>
      </c>
      <c r="B232" s="18"/>
      <c r="C232" s="18"/>
      <c r="D232" s="18" t="s">
        <v>1356</v>
      </c>
      <c r="E232" s="18"/>
      <c r="F232" s="104"/>
      <c r="G232" s="18"/>
      <c r="I232" s="39"/>
      <c r="J232" s="10"/>
    </row>
    <row r="233" spans="1:10" x14ac:dyDescent="0.2">
      <c r="A233" s="18" t="s">
        <v>558</v>
      </c>
      <c r="B233" s="18"/>
      <c r="C233" s="18"/>
      <c r="D233" s="18" t="s">
        <v>1357</v>
      </c>
      <c r="E233" s="18"/>
      <c r="F233" s="104"/>
      <c r="G233" s="18"/>
      <c r="I233" s="39"/>
      <c r="J233" s="10"/>
    </row>
    <row r="234" spans="1:10" ht="51" x14ac:dyDescent="0.2">
      <c r="A234" s="19" t="s">
        <v>560</v>
      </c>
      <c r="B234" s="20" t="s">
        <v>1358</v>
      </c>
      <c r="C234" s="19" t="s">
        <v>15</v>
      </c>
      <c r="D234" s="19" t="s">
        <v>1359</v>
      </c>
      <c r="E234" s="21" t="s">
        <v>50</v>
      </c>
      <c r="F234" s="105">
        <f>(1.7*0.4*0.1)+(0.7*0.7*0.1*4)</f>
        <v>0.26400000000000001</v>
      </c>
      <c r="G234" s="105" t="s">
        <v>1412</v>
      </c>
      <c r="I234" s="20">
        <v>0.26</v>
      </c>
      <c r="J234" s="10"/>
    </row>
    <row r="235" spans="1:10" ht="38.25" x14ac:dyDescent="0.2">
      <c r="A235" s="19" t="s">
        <v>1360</v>
      </c>
      <c r="B235" s="20" t="s">
        <v>1361</v>
      </c>
      <c r="C235" s="19" t="s">
        <v>15</v>
      </c>
      <c r="D235" s="19" t="s">
        <v>1362</v>
      </c>
      <c r="E235" s="21" t="s">
        <v>78</v>
      </c>
      <c r="F235" s="105">
        <f>(((1.7+0.4)*2)+(0.7*4*4))*0.1</f>
        <v>1.54</v>
      </c>
      <c r="G235" s="105" t="s">
        <v>1413</v>
      </c>
      <c r="I235" s="20">
        <v>1.54</v>
      </c>
      <c r="J235" s="10"/>
    </row>
    <row r="236" spans="1:10" x14ac:dyDescent="0.2">
      <c r="A236" s="18" t="s">
        <v>561</v>
      </c>
      <c r="B236" s="18"/>
      <c r="C236" s="18"/>
      <c r="D236" s="18" t="s">
        <v>1363</v>
      </c>
      <c r="E236" s="18"/>
      <c r="F236" s="104"/>
      <c r="G236" s="104"/>
      <c r="I236" s="39"/>
      <c r="J236" s="10"/>
    </row>
    <row r="237" spans="1:10" ht="51" x14ac:dyDescent="0.2">
      <c r="A237" s="19" t="s">
        <v>563</v>
      </c>
      <c r="B237" s="20" t="s">
        <v>120</v>
      </c>
      <c r="C237" s="19" t="s">
        <v>15</v>
      </c>
      <c r="D237" s="19" t="s">
        <v>121</v>
      </c>
      <c r="E237" s="21" t="s">
        <v>50</v>
      </c>
      <c r="F237" s="105">
        <f>(1.7*0.4*0.35)+(0.7*0.7*0.55*4)</f>
        <v>1.3159999999999998</v>
      </c>
      <c r="G237" s="105" t="s">
        <v>1414</v>
      </c>
      <c r="I237" s="20">
        <v>1.32</v>
      </c>
      <c r="J237" s="10"/>
    </row>
    <row r="238" spans="1:10" ht="38.25" x14ac:dyDescent="0.2">
      <c r="A238" s="19" t="s">
        <v>566</v>
      </c>
      <c r="B238" s="20" t="s">
        <v>123</v>
      </c>
      <c r="C238" s="19" t="s">
        <v>31</v>
      </c>
      <c r="D238" s="19" t="s">
        <v>124</v>
      </c>
      <c r="E238" s="21" t="s">
        <v>5</v>
      </c>
      <c r="F238" s="105">
        <f>(1.7*0.4)+(0.7*0.7*4)</f>
        <v>2.6399999999999997</v>
      </c>
      <c r="G238" s="105" t="s">
        <v>1415</v>
      </c>
      <c r="I238" s="20">
        <v>2.64</v>
      </c>
      <c r="J238" s="10"/>
    </row>
    <row r="239" spans="1:10" ht="25.5" x14ac:dyDescent="0.2">
      <c r="A239" s="19" t="s">
        <v>1364</v>
      </c>
      <c r="B239" s="20" t="s">
        <v>129</v>
      </c>
      <c r="C239" s="19" t="s">
        <v>15</v>
      </c>
      <c r="D239" s="19" t="s">
        <v>130</v>
      </c>
      <c r="E239" s="21" t="s">
        <v>50</v>
      </c>
      <c r="F239" s="105">
        <f>F238*0.05</f>
        <v>0.13199999999999998</v>
      </c>
      <c r="G239" s="105" t="s">
        <v>1416</v>
      </c>
      <c r="I239" s="20">
        <v>0.13</v>
      </c>
      <c r="J239" s="10"/>
    </row>
    <row r="240" spans="1:10" ht="38.25" x14ac:dyDescent="0.2">
      <c r="A240" s="19" t="s">
        <v>1365</v>
      </c>
      <c r="B240" s="20" t="s">
        <v>126</v>
      </c>
      <c r="C240" s="19" t="s">
        <v>15</v>
      </c>
      <c r="D240" s="19" t="s">
        <v>127</v>
      </c>
      <c r="E240" s="21" t="s">
        <v>5</v>
      </c>
      <c r="F240" s="105">
        <f>(3.4*0.3)+(2*0.5*4)</f>
        <v>5.0199999999999996</v>
      </c>
      <c r="G240" s="105" t="s">
        <v>1417</v>
      </c>
      <c r="I240" s="20">
        <v>5.0199999999999996</v>
      </c>
      <c r="J240" s="10"/>
    </row>
    <row r="241" spans="1:10" x14ac:dyDescent="0.2">
      <c r="A241" s="19" t="s">
        <v>1366</v>
      </c>
      <c r="B241" s="20" t="s">
        <v>132</v>
      </c>
      <c r="C241" s="19" t="s">
        <v>15</v>
      </c>
      <c r="D241" s="19" t="s">
        <v>133</v>
      </c>
      <c r="E241" s="21" t="s">
        <v>134</v>
      </c>
      <c r="F241" s="105">
        <f>F242*94</f>
        <v>55.459999999999994</v>
      </c>
      <c r="G241" s="105" t="s">
        <v>1418</v>
      </c>
      <c r="I241" s="20">
        <v>55.46</v>
      </c>
      <c r="J241" s="10"/>
    </row>
    <row r="242" spans="1:10" ht="51" x14ac:dyDescent="0.2">
      <c r="A242" s="19" t="s">
        <v>1367</v>
      </c>
      <c r="B242" s="20" t="s">
        <v>136</v>
      </c>
      <c r="C242" s="19" t="s">
        <v>15</v>
      </c>
      <c r="D242" s="19" t="s">
        <v>137</v>
      </c>
      <c r="E242" s="21" t="s">
        <v>50</v>
      </c>
      <c r="F242" s="105">
        <f>(1.5*0.2*0.3)+(0.5*0.5*0.5*4)</f>
        <v>0.59</v>
      </c>
      <c r="G242" s="105" t="s">
        <v>1419</v>
      </c>
      <c r="I242" s="20">
        <v>0.59</v>
      </c>
      <c r="J242" s="10"/>
    </row>
    <row r="243" spans="1:10" ht="51" x14ac:dyDescent="0.2">
      <c r="A243" s="19" t="s">
        <v>1368</v>
      </c>
      <c r="B243" s="20" t="s">
        <v>139</v>
      </c>
      <c r="C243" s="19" t="s">
        <v>15</v>
      </c>
      <c r="D243" s="19" t="s">
        <v>140</v>
      </c>
      <c r="E243" s="21" t="s">
        <v>50</v>
      </c>
      <c r="F243" s="105">
        <f>F242</f>
        <v>0.59</v>
      </c>
      <c r="G243" s="105" t="str">
        <f>G242</f>
        <v>(1,5m de comprimento*0,2m de largura*0,3m de altura)+(0,5m de largura*0,5m de comprimento *0,5m profundidade*4 blocos)</v>
      </c>
      <c r="I243" s="20">
        <v>0.59</v>
      </c>
      <c r="J243" s="10"/>
    </row>
    <row r="244" spans="1:10" ht="38.25" x14ac:dyDescent="0.2">
      <c r="A244" s="19" t="s">
        <v>1369</v>
      </c>
      <c r="B244" s="20" t="s">
        <v>145</v>
      </c>
      <c r="C244" s="19" t="s">
        <v>15</v>
      </c>
      <c r="D244" s="19" t="s">
        <v>146</v>
      </c>
      <c r="E244" s="21" t="s">
        <v>50</v>
      </c>
      <c r="F244" s="105">
        <f>(F237-(F239+F242))*1.3</f>
        <v>0.77219999999999989</v>
      </c>
      <c r="G244" s="105" t="s">
        <v>1420</v>
      </c>
      <c r="I244" s="20">
        <v>0.77</v>
      </c>
      <c r="J244" s="10"/>
    </row>
    <row r="245" spans="1:10" ht="38.25" x14ac:dyDescent="0.2">
      <c r="A245" s="19" t="s">
        <v>1370</v>
      </c>
      <c r="B245" s="20" t="s">
        <v>148</v>
      </c>
      <c r="C245" s="19" t="s">
        <v>15</v>
      </c>
      <c r="D245" s="19" t="s">
        <v>149</v>
      </c>
      <c r="E245" s="21" t="s">
        <v>50</v>
      </c>
      <c r="F245" s="105">
        <f>F244</f>
        <v>0.77219999999999989</v>
      </c>
      <c r="G245" s="105" t="str">
        <f>G244</f>
        <v>(1,32m³ de escavação-(0,13m³ do lastro+0,59m³ do concreto))*1,3 do empolamento</v>
      </c>
      <c r="I245" s="20">
        <v>0.77</v>
      </c>
      <c r="J245" s="10"/>
    </row>
    <row r="246" spans="1:10" x14ac:dyDescent="0.2">
      <c r="A246" s="18" t="s">
        <v>569</v>
      </c>
      <c r="B246" s="18"/>
      <c r="C246" s="18"/>
      <c r="D246" s="18" t="s">
        <v>1371</v>
      </c>
      <c r="E246" s="18"/>
      <c r="F246" s="104"/>
      <c r="G246" s="104"/>
      <c r="I246" s="39"/>
      <c r="J246" s="10"/>
    </row>
    <row r="247" spans="1:10" x14ac:dyDescent="0.2">
      <c r="A247" s="19" t="s">
        <v>665</v>
      </c>
      <c r="B247" s="20" t="s">
        <v>1372</v>
      </c>
      <c r="C247" s="19" t="s">
        <v>31</v>
      </c>
      <c r="D247" s="19" t="s">
        <v>1373</v>
      </c>
      <c r="E247" s="21" t="s">
        <v>134</v>
      </c>
      <c r="F247" s="105">
        <f>(26*11.4)+(4*1.7*11.4)</f>
        <v>373.92</v>
      </c>
      <c r="G247" s="105" t="s">
        <v>1421</v>
      </c>
      <c r="I247" s="20">
        <v>373.92</v>
      </c>
      <c r="J247" s="10"/>
    </row>
    <row r="248" spans="1:10" ht="25.5" x14ac:dyDescent="0.2">
      <c r="A248" s="19" t="s">
        <v>1374</v>
      </c>
      <c r="B248" s="20" t="s">
        <v>1393</v>
      </c>
      <c r="C248" s="19" t="s">
        <v>1394</v>
      </c>
      <c r="D248" s="19" t="s">
        <v>1395</v>
      </c>
      <c r="E248" s="21" t="s">
        <v>1433</v>
      </c>
      <c r="F248" s="105">
        <f>1.4*26*2.68</f>
        <v>97.552000000000007</v>
      </c>
      <c r="G248" s="105" t="s">
        <v>1422</v>
      </c>
      <c r="I248" s="20">
        <v>97.55</v>
      </c>
      <c r="J248" s="10"/>
    </row>
    <row r="249" spans="1:10" x14ac:dyDescent="0.2">
      <c r="A249" s="19" t="s">
        <v>1377</v>
      </c>
      <c r="B249" s="20" t="s">
        <v>1375</v>
      </c>
      <c r="C249" s="19" t="s">
        <v>31</v>
      </c>
      <c r="D249" s="19" t="s">
        <v>1376</v>
      </c>
      <c r="E249" s="21" t="s">
        <v>134</v>
      </c>
      <c r="F249" s="105">
        <f>15*9.6</f>
        <v>144</v>
      </c>
      <c r="G249" s="105" t="s">
        <v>1423</v>
      </c>
      <c r="I249" s="20">
        <v>144</v>
      </c>
      <c r="J249" s="10"/>
    </row>
    <row r="250" spans="1:10" x14ac:dyDescent="0.2">
      <c r="A250" s="19" t="s">
        <v>1380</v>
      </c>
      <c r="B250" s="20" t="s">
        <v>1378</v>
      </c>
      <c r="C250" s="19" t="s">
        <v>193</v>
      </c>
      <c r="D250" s="19" t="s">
        <v>1379</v>
      </c>
      <c r="E250" s="21" t="s">
        <v>5</v>
      </c>
      <c r="F250" s="10">
        <v>15</v>
      </c>
      <c r="G250" s="10" t="s">
        <v>1424</v>
      </c>
      <c r="I250" s="20">
        <v>15</v>
      </c>
      <c r="J250" s="10"/>
    </row>
    <row r="251" spans="1:10" x14ac:dyDescent="0.2">
      <c r="A251" s="19" t="s">
        <v>1381</v>
      </c>
      <c r="B251" s="20" t="s">
        <v>525</v>
      </c>
      <c r="C251" s="19" t="s">
        <v>15</v>
      </c>
      <c r="D251" s="19" t="s">
        <v>526</v>
      </c>
      <c r="E251" s="21" t="s">
        <v>5</v>
      </c>
      <c r="F251" s="105">
        <f>F250*2.2</f>
        <v>33</v>
      </c>
      <c r="G251" s="105" t="s">
        <v>1425</v>
      </c>
      <c r="I251" s="20">
        <v>33</v>
      </c>
      <c r="J251" s="10"/>
    </row>
    <row r="252" spans="1:10" x14ac:dyDescent="0.2">
      <c r="A252" s="18" t="s">
        <v>1386</v>
      </c>
      <c r="B252" s="18"/>
      <c r="C252" s="18"/>
      <c r="D252" s="18" t="s">
        <v>1396</v>
      </c>
      <c r="E252" s="18"/>
      <c r="F252" s="104"/>
      <c r="G252" s="104"/>
      <c r="I252" s="39"/>
      <c r="J252" s="10"/>
    </row>
    <row r="253" spans="1:10" x14ac:dyDescent="0.2">
      <c r="A253" s="19" t="s">
        <v>1388</v>
      </c>
      <c r="B253" s="20" t="s">
        <v>1397</v>
      </c>
      <c r="C253" s="19" t="s">
        <v>31</v>
      </c>
      <c r="D253" s="19" t="s">
        <v>1398</v>
      </c>
      <c r="E253" s="21" t="s">
        <v>78</v>
      </c>
      <c r="F253" s="105">
        <f>(9.9+9.9+2.9)*6</f>
        <v>136.19999999999999</v>
      </c>
      <c r="G253" s="105" t="s">
        <v>1426</v>
      </c>
      <c r="I253" s="20">
        <v>136.19999999999999</v>
      </c>
      <c r="J253" s="10"/>
    </row>
    <row r="254" spans="1:10" ht="25.5" x14ac:dyDescent="0.2">
      <c r="A254" s="19" t="s">
        <v>1389</v>
      </c>
      <c r="B254" s="20" t="s">
        <v>1384</v>
      </c>
      <c r="C254" s="19" t="s">
        <v>31</v>
      </c>
      <c r="D254" s="19" t="s">
        <v>1385</v>
      </c>
      <c r="E254" s="21" t="s">
        <v>78</v>
      </c>
      <c r="F254" s="105">
        <f>(1.05*(8+8+3))</f>
        <v>19.95</v>
      </c>
      <c r="G254" s="105" t="s">
        <v>1427</v>
      </c>
      <c r="I254" s="20">
        <v>19.95</v>
      </c>
      <c r="J254" s="10"/>
    </row>
    <row r="255" spans="1:10" ht="25.5" x14ac:dyDescent="0.2">
      <c r="A255" s="19" t="s">
        <v>1392</v>
      </c>
      <c r="B255" s="20" t="s">
        <v>1382</v>
      </c>
      <c r="C255" s="19" t="s">
        <v>31</v>
      </c>
      <c r="D255" s="19" t="s">
        <v>1383</v>
      </c>
      <c r="E255" s="21" t="s">
        <v>78</v>
      </c>
      <c r="F255" s="105">
        <f>((9.9+9.9+2.9))+((4.3+3)*2)</f>
        <v>37.299999999999997</v>
      </c>
      <c r="G255" s="105" t="s">
        <v>1428</v>
      </c>
      <c r="I255" s="20">
        <v>37.299999999999997</v>
      </c>
      <c r="J255" s="10"/>
    </row>
    <row r="256" spans="1:10" x14ac:dyDescent="0.2">
      <c r="A256" s="19" t="s">
        <v>1399</v>
      </c>
      <c r="B256" s="20" t="s">
        <v>1378</v>
      </c>
      <c r="C256" s="19" t="s">
        <v>193</v>
      </c>
      <c r="D256" s="19" t="s">
        <v>1379</v>
      </c>
      <c r="E256" s="21" t="s">
        <v>5</v>
      </c>
      <c r="F256" s="105">
        <f>26*1.05</f>
        <v>27.3</v>
      </c>
      <c r="G256" s="105" t="s">
        <v>1429</v>
      </c>
      <c r="I256" s="20">
        <v>27.3</v>
      </c>
      <c r="J256" s="10"/>
    </row>
    <row r="257" spans="1:10" x14ac:dyDescent="0.2">
      <c r="A257" s="19" t="s">
        <v>1400</v>
      </c>
      <c r="B257" s="20" t="s">
        <v>525</v>
      </c>
      <c r="C257" s="19" t="s">
        <v>15</v>
      </c>
      <c r="D257" s="19" t="s">
        <v>526</v>
      </c>
      <c r="E257" s="21" t="s">
        <v>5</v>
      </c>
      <c r="F257" s="105">
        <f>F256*2.2</f>
        <v>60.060000000000009</v>
      </c>
      <c r="G257" s="105" t="s">
        <v>1430</v>
      </c>
      <c r="I257" s="20">
        <v>60.06</v>
      </c>
      <c r="J257" s="10"/>
    </row>
    <row r="258" spans="1:10" x14ac:dyDescent="0.2">
      <c r="A258" s="18" t="s">
        <v>1401</v>
      </c>
      <c r="B258" s="18"/>
      <c r="C258" s="18"/>
      <c r="D258" s="18" t="s">
        <v>1387</v>
      </c>
      <c r="E258" s="18"/>
      <c r="F258" s="104">
        <f>0.4+(0.25*4)</f>
        <v>1.4</v>
      </c>
      <c r="G258" s="104">
        <f>0.4+(0.25*4)</f>
        <v>1.4</v>
      </c>
      <c r="I258" s="39"/>
      <c r="J258" s="10"/>
    </row>
    <row r="259" spans="1:10" ht="25.5" x14ac:dyDescent="0.2">
      <c r="A259" s="19" t="s">
        <v>1402</v>
      </c>
      <c r="B259" s="20" t="s">
        <v>129</v>
      </c>
      <c r="C259" s="19" t="s">
        <v>15</v>
      </c>
      <c r="D259" s="19" t="s">
        <v>130</v>
      </c>
      <c r="E259" s="21" t="s">
        <v>50</v>
      </c>
      <c r="F259" s="105">
        <f>F258*0.05</f>
        <v>6.9999999999999993E-2</v>
      </c>
      <c r="G259" s="105" t="s">
        <v>1431</v>
      </c>
      <c r="I259" s="20">
        <v>7.0000000000000007E-2</v>
      </c>
      <c r="J259" s="10"/>
    </row>
    <row r="260" spans="1:10" ht="25.5" x14ac:dyDescent="0.2">
      <c r="A260" s="19" t="s">
        <v>1403</v>
      </c>
      <c r="B260" s="20" t="s">
        <v>1390</v>
      </c>
      <c r="C260" s="19" t="s">
        <v>15</v>
      </c>
      <c r="D260" s="19" t="s">
        <v>1391</v>
      </c>
      <c r="E260" s="21" t="s">
        <v>50</v>
      </c>
      <c r="F260" s="105">
        <f>F258*0.1</f>
        <v>0.13999999999999999</v>
      </c>
      <c r="G260" s="105" t="s">
        <v>1432</v>
      </c>
      <c r="I260" s="20">
        <v>0.14000000000000001</v>
      </c>
      <c r="J260" s="10"/>
    </row>
    <row r="261" spans="1:10" x14ac:dyDescent="0.2">
      <c r="A261" s="18" t="s">
        <v>1404</v>
      </c>
      <c r="B261" s="18"/>
      <c r="C261" s="18"/>
      <c r="D261" s="18" t="s">
        <v>8</v>
      </c>
      <c r="E261" s="18"/>
      <c r="F261" s="29"/>
      <c r="G261" s="28"/>
      <c r="I261" s="39"/>
      <c r="J261" s="10">
        <f t="shared" si="3"/>
        <v>0</v>
      </c>
    </row>
    <row r="262" spans="1:10" x14ac:dyDescent="0.2">
      <c r="A262" s="18" t="s">
        <v>1405</v>
      </c>
      <c r="B262" s="18"/>
      <c r="C262" s="18"/>
      <c r="D262" s="18" t="s">
        <v>559</v>
      </c>
      <c r="E262" s="18"/>
      <c r="F262" s="29"/>
      <c r="G262" s="28"/>
      <c r="I262" s="39"/>
      <c r="J262" s="10">
        <f t="shared" si="3"/>
        <v>0</v>
      </c>
    </row>
    <row r="263" spans="1:10" x14ac:dyDescent="0.2">
      <c r="A263" s="19" t="s">
        <v>1406</v>
      </c>
      <c r="B263" s="20" t="s">
        <v>14</v>
      </c>
      <c r="C263" s="19" t="s">
        <v>15</v>
      </c>
      <c r="D263" s="19" t="s">
        <v>9</v>
      </c>
      <c r="E263" s="21" t="s">
        <v>5</v>
      </c>
      <c r="F263" s="31">
        <f>F203+F193+F188</f>
        <v>362.5</v>
      </c>
      <c r="G263" s="32" t="s">
        <v>652</v>
      </c>
      <c r="I263" s="20">
        <v>362.5</v>
      </c>
      <c r="J263" s="10">
        <f t="shared" si="3"/>
        <v>0</v>
      </c>
    </row>
    <row r="264" spans="1:10" x14ac:dyDescent="0.2">
      <c r="A264" s="18" t="s">
        <v>1407</v>
      </c>
      <c r="B264" s="18"/>
      <c r="C264" s="18"/>
      <c r="D264" s="18" t="s">
        <v>562</v>
      </c>
      <c r="E264" s="18"/>
      <c r="F264" s="29"/>
      <c r="G264" s="28"/>
      <c r="I264" s="39"/>
      <c r="J264" s="10">
        <f t="shared" si="3"/>
        <v>0</v>
      </c>
    </row>
    <row r="265" spans="1:10" x14ac:dyDescent="0.2">
      <c r="A265" s="19" t="s">
        <v>1408</v>
      </c>
      <c r="B265" s="20" t="s">
        <v>564</v>
      </c>
      <c r="C265" s="19" t="s">
        <v>15</v>
      </c>
      <c r="D265" s="19" t="s">
        <v>565</v>
      </c>
      <c r="E265" s="21" t="s">
        <v>5</v>
      </c>
      <c r="F265" s="31">
        <v>240</v>
      </c>
      <c r="G265" s="31" t="s">
        <v>653</v>
      </c>
      <c r="I265" s="20">
        <v>240</v>
      </c>
      <c r="J265" s="10">
        <f t="shared" si="3"/>
        <v>0</v>
      </c>
    </row>
    <row r="266" spans="1:10" x14ac:dyDescent="0.2">
      <c r="A266" s="19" t="s">
        <v>1409</v>
      </c>
      <c r="B266" s="20" t="s">
        <v>567</v>
      </c>
      <c r="C266" s="19" t="s">
        <v>15</v>
      </c>
      <c r="D266" s="19" t="s">
        <v>568</v>
      </c>
      <c r="E266" s="21" t="s">
        <v>50</v>
      </c>
      <c r="F266" s="31">
        <f>F265*0.15</f>
        <v>36</v>
      </c>
      <c r="G266" s="31" t="s">
        <v>654</v>
      </c>
      <c r="I266" s="20">
        <v>36</v>
      </c>
      <c r="J266" s="10">
        <f t="shared" si="3"/>
        <v>0</v>
      </c>
    </row>
    <row r="267" spans="1:10" x14ac:dyDescent="0.2">
      <c r="A267" s="18" t="s">
        <v>1410</v>
      </c>
      <c r="B267" s="18"/>
      <c r="C267" s="18"/>
      <c r="D267" s="18" t="s">
        <v>639</v>
      </c>
      <c r="E267" s="18"/>
      <c r="F267" s="106"/>
      <c r="G267" s="18"/>
      <c r="I267" s="39"/>
      <c r="J267" s="10">
        <f t="shared" si="3"/>
        <v>0</v>
      </c>
    </row>
    <row r="268" spans="1:10" x14ac:dyDescent="0.2">
      <c r="A268" s="19" t="s">
        <v>1411</v>
      </c>
      <c r="B268" s="20" t="s">
        <v>696</v>
      </c>
      <c r="C268" s="19" t="s">
        <v>240</v>
      </c>
      <c r="D268" s="19" t="s">
        <v>697</v>
      </c>
      <c r="E268" s="21" t="s">
        <v>32</v>
      </c>
      <c r="F268" s="31">
        <v>4</v>
      </c>
      <c r="G268" s="31" t="s">
        <v>655</v>
      </c>
      <c r="I268" s="20">
        <v>4</v>
      </c>
      <c r="J268" s="10">
        <f t="shared" si="3"/>
        <v>0</v>
      </c>
    </row>
  </sheetData>
  <mergeCells count="4">
    <mergeCell ref="F1:G1"/>
    <mergeCell ref="F2:G2"/>
    <mergeCell ref="B3:D3"/>
    <mergeCell ref="A4:G4"/>
  </mergeCells>
  <phoneticPr fontId="16" type="noConversion"/>
  <pageMargins left="0.5" right="0.5" top="1" bottom="1" header="0.5" footer="0.5"/>
  <pageSetup paperSize="9" scale="82" fitToHeight="0" orientation="landscape" r:id="rId1"/>
  <headerFooter>
    <oddHeader>&amp;L &amp;CSANTA MARIA AGROPECUÁRIA LTDA
CNPJ: 61.049.482/0021-02 &amp;R</oddHeader>
    <oddFooter>&amp;L &amp;CRodovia Sp 340 - KM 144 FAZENDA SANTA ELIZA - ZONA RURAL - SANTO ANTONIO DE POSSE / SP
(19) 3896-4915 /  &amp;R</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138"/>
  <sheetViews>
    <sheetView view="pageBreakPreview" zoomScale="60" zoomScaleNormal="100" workbookViewId="0">
      <selection activeCell="R20" sqref="R20"/>
    </sheetView>
  </sheetViews>
  <sheetFormatPr defaultColWidth="9" defaultRowHeight="14.25" x14ac:dyDescent="0.2"/>
  <cols>
    <col min="1" max="1" width="7.125" customWidth="1"/>
    <col min="2" max="2" width="12" bestFit="1" customWidth="1"/>
    <col min="3" max="3" width="10" bestFit="1" customWidth="1"/>
    <col min="4" max="4" width="60" bestFit="1" customWidth="1"/>
    <col min="5" max="5" width="6.625" bestFit="1" customWidth="1"/>
    <col min="6" max="8" width="12" bestFit="1" customWidth="1"/>
    <col min="9" max="9" width="13" bestFit="1" customWidth="1"/>
    <col min="10" max="10" width="14" bestFit="1" customWidth="1"/>
  </cols>
  <sheetData>
    <row r="1" spans="1:10" ht="15" customHeight="1" x14ac:dyDescent="0.2">
      <c r="A1" s="40"/>
      <c r="B1" s="40"/>
      <c r="C1" s="119"/>
      <c r="D1" s="119"/>
      <c r="E1" s="119"/>
      <c r="F1" s="119"/>
      <c r="G1" s="119" t="s">
        <v>698</v>
      </c>
      <c r="H1" s="119"/>
      <c r="I1" s="119" t="s">
        <v>699</v>
      </c>
      <c r="J1" s="119"/>
    </row>
    <row r="2" spans="1:10" ht="80.099999999999994" customHeight="1" x14ac:dyDescent="0.2">
      <c r="A2" s="14"/>
      <c r="B2" s="14"/>
      <c r="C2" s="120" t="str">
        <f>'Orçamento Sintético'!A3</f>
        <v>OBRA: PORTARIA DA UNIVERSIDADE FRANCO MONTORO</v>
      </c>
      <c r="D2" s="120"/>
      <c r="E2" s="120"/>
      <c r="F2" s="120"/>
      <c r="G2" s="121">
        <f>[5]BDI!N27</f>
        <v>0.28820000000000001</v>
      </c>
      <c r="H2" s="120"/>
      <c r="I2" s="120" t="s">
        <v>700</v>
      </c>
      <c r="J2" s="120"/>
    </row>
    <row r="3" spans="1:10" ht="15" customHeight="1" x14ac:dyDescent="0.25">
      <c r="A3" s="123" t="s">
        <v>701</v>
      </c>
      <c r="B3" s="118"/>
      <c r="C3" s="118"/>
      <c r="D3" s="118"/>
      <c r="E3" s="118"/>
      <c r="F3" s="118"/>
      <c r="G3" s="118"/>
      <c r="H3" s="118"/>
      <c r="I3" s="118"/>
      <c r="J3" s="118"/>
    </row>
    <row r="4" spans="1:10" x14ac:dyDescent="0.2">
      <c r="A4" s="18" t="s">
        <v>24</v>
      </c>
      <c r="B4" s="18"/>
      <c r="C4" s="18"/>
      <c r="D4" s="18" t="s">
        <v>25</v>
      </c>
      <c r="E4" s="18"/>
      <c r="F4" s="122"/>
      <c r="G4" s="122"/>
      <c r="H4" s="39"/>
      <c r="I4" s="18"/>
      <c r="J4" s="80">
        <v>84966.6</v>
      </c>
    </row>
    <row r="5" spans="1:10" x14ac:dyDescent="0.2">
      <c r="A5" s="18" t="s">
        <v>26</v>
      </c>
      <c r="B5" s="18"/>
      <c r="C5" s="18"/>
      <c r="D5" s="18" t="s">
        <v>27</v>
      </c>
      <c r="E5" s="18"/>
      <c r="F5" s="122"/>
      <c r="G5" s="122"/>
      <c r="H5" s="39"/>
      <c r="I5" s="18"/>
      <c r="J5" s="80">
        <v>30181.67</v>
      </c>
    </row>
    <row r="6" spans="1:10" ht="15" x14ac:dyDescent="0.2">
      <c r="A6" s="75" t="s">
        <v>28</v>
      </c>
      <c r="B6" s="17" t="s">
        <v>11</v>
      </c>
      <c r="C6" s="75" t="s">
        <v>12</v>
      </c>
      <c r="D6" s="75" t="s">
        <v>2</v>
      </c>
      <c r="E6" s="124" t="s">
        <v>779</v>
      </c>
      <c r="F6" s="124"/>
      <c r="G6" s="76" t="s">
        <v>3</v>
      </c>
      <c r="H6" s="17" t="s">
        <v>4</v>
      </c>
      <c r="I6" s="17" t="s">
        <v>13</v>
      </c>
      <c r="J6" s="17" t="s">
        <v>17</v>
      </c>
    </row>
    <row r="7" spans="1:10" ht="25.5" x14ac:dyDescent="0.2">
      <c r="A7" s="19" t="s">
        <v>780</v>
      </c>
      <c r="B7" s="20" t="s">
        <v>29</v>
      </c>
      <c r="C7" s="19" t="s">
        <v>15</v>
      </c>
      <c r="D7" s="19" t="s">
        <v>30</v>
      </c>
      <c r="E7" s="125">
        <v>2.08</v>
      </c>
      <c r="F7" s="125"/>
      <c r="G7" s="21" t="s">
        <v>5</v>
      </c>
      <c r="H7" s="86">
        <v>1</v>
      </c>
      <c r="I7" s="82">
        <v>199.68</v>
      </c>
      <c r="J7" s="82">
        <v>199.68</v>
      </c>
    </row>
    <row r="8" spans="1:10" ht="38.25" x14ac:dyDescent="0.2">
      <c r="A8" s="87" t="s">
        <v>781</v>
      </c>
      <c r="B8" s="88" t="s">
        <v>782</v>
      </c>
      <c r="C8" s="87" t="s">
        <v>15</v>
      </c>
      <c r="D8" s="87" t="s">
        <v>783</v>
      </c>
      <c r="E8" s="126" t="s">
        <v>784</v>
      </c>
      <c r="F8" s="126"/>
      <c r="G8" s="89" t="s">
        <v>785</v>
      </c>
      <c r="H8" s="90">
        <v>0.91</v>
      </c>
      <c r="I8" s="91">
        <v>18.57</v>
      </c>
      <c r="J8" s="91">
        <v>16.89</v>
      </c>
    </row>
    <row r="9" spans="1:10" ht="38.25" x14ac:dyDescent="0.2">
      <c r="A9" s="87" t="s">
        <v>781</v>
      </c>
      <c r="B9" s="88" t="s">
        <v>786</v>
      </c>
      <c r="C9" s="87" t="s">
        <v>15</v>
      </c>
      <c r="D9" s="87" t="s">
        <v>787</v>
      </c>
      <c r="E9" s="126" t="s">
        <v>784</v>
      </c>
      <c r="F9" s="126"/>
      <c r="G9" s="89" t="s">
        <v>785</v>
      </c>
      <c r="H9" s="90">
        <v>0.315</v>
      </c>
      <c r="I9" s="91">
        <v>27.08</v>
      </c>
      <c r="J9" s="91">
        <v>8.5299999999999994</v>
      </c>
    </row>
    <row r="10" spans="1:10" ht="38.25" x14ac:dyDescent="0.2">
      <c r="A10" s="87" t="s">
        <v>781</v>
      </c>
      <c r="B10" s="88" t="s">
        <v>788</v>
      </c>
      <c r="C10" s="87" t="s">
        <v>15</v>
      </c>
      <c r="D10" s="87" t="s">
        <v>789</v>
      </c>
      <c r="E10" s="126" t="s">
        <v>784</v>
      </c>
      <c r="F10" s="126"/>
      <c r="G10" s="89" t="s">
        <v>785</v>
      </c>
      <c r="H10" s="90">
        <v>0.28000000000000003</v>
      </c>
      <c r="I10" s="91">
        <v>18.57</v>
      </c>
      <c r="J10" s="91">
        <v>5.19</v>
      </c>
    </row>
    <row r="11" spans="1:10" ht="38.25" x14ac:dyDescent="0.2">
      <c r="A11" s="87" t="s">
        <v>781</v>
      </c>
      <c r="B11" s="88" t="s">
        <v>790</v>
      </c>
      <c r="C11" s="87" t="s">
        <v>15</v>
      </c>
      <c r="D11" s="87" t="s">
        <v>791</v>
      </c>
      <c r="E11" s="126" t="s">
        <v>784</v>
      </c>
      <c r="F11" s="126"/>
      <c r="G11" s="89" t="s">
        <v>785</v>
      </c>
      <c r="H11" s="90">
        <v>0.8</v>
      </c>
      <c r="I11" s="91">
        <v>22.61</v>
      </c>
      <c r="J11" s="91">
        <v>18.079999999999998</v>
      </c>
    </row>
    <row r="12" spans="1:10" ht="38.25" x14ac:dyDescent="0.2">
      <c r="A12" s="87" t="s">
        <v>781</v>
      </c>
      <c r="B12" s="88" t="s">
        <v>792</v>
      </c>
      <c r="C12" s="87" t="s">
        <v>15</v>
      </c>
      <c r="D12" s="87" t="s">
        <v>793</v>
      </c>
      <c r="E12" s="126" t="s">
        <v>794</v>
      </c>
      <c r="F12" s="126"/>
      <c r="G12" s="89" t="s">
        <v>78</v>
      </c>
      <c r="H12" s="90">
        <v>1.1499999999999999</v>
      </c>
      <c r="I12" s="91">
        <v>25.9</v>
      </c>
      <c r="J12" s="91">
        <v>29.78</v>
      </c>
    </row>
    <row r="13" spans="1:10" ht="38.25" x14ac:dyDescent="0.2">
      <c r="A13" s="87" t="s">
        <v>781</v>
      </c>
      <c r="B13" s="88" t="s">
        <v>795</v>
      </c>
      <c r="C13" s="87" t="s">
        <v>15</v>
      </c>
      <c r="D13" s="87" t="s">
        <v>796</v>
      </c>
      <c r="E13" s="126" t="s">
        <v>794</v>
      </c>
      <c r="F13" s="126"/>
      <c r="G13" s="89" t="s">
        <v>134</v>
      </c>
      <c r="H13" s="90">
        <v>0.15</v>
      </c>
      <c r="I13" s="91">
        <v>11.64</v>
      </c>
      <c r="J13" s="91">
        <v>1.74</v>
      </c>
    </row>
    <row r="14" spans="1:10" ht="38.25" x14ac:dyDescent="0.2">
      <c r="A14" s="87" t="s">
        <v>781</v>
      </c>
      <c r="B14" s="88" t="s">
        <v>797</v>
      </c>
      <c r="C14" s="87" t="s">
        <v>15</v>
      </c>
      <c r="D14" s="87" t="s">
        <v>798</v>
      </c>
      <c r="E14" s="126" t="s">
        <v>794</v>
      </c>
      <c r="F14" s="126"/>
      <c r="G14" s="89" t="s">
        <v>720</v>
      </c>
      <c r="H14" s="90">
        <v>0.17499999999999999</v>
      </c>
      <c r="I14" s="91">
        <v>22.54</v>
      </c>
      <c r="J14" s="91">
        <v>3.94</v>
      </c>
    </row>
    <row r="15" spans="1:10" ht="38.25" x14ac:dyDescent="0.2">
      <c r="A15" s="87" t="s">
        <v>781</v>
      </c>
      <c r="B15" s="88" t="s">
        <v>799</v>
      </c>
      <c r="C15" s="87" t="s">
        <v>15</v>
      </c>
      <c r="D15" s="87" t="s">
        <v>800</v>
      </c>
      <c r="E15" s="126" t="s">
        <v>794</v>
      </c>
      <c r="F15" s="126"/>
      <c r="G15" s="89" t="s">
        <v>5</v>
      </c>
      <c r="H15" s="90">
        <v>1</v>
      </c>
      <c r="I15" s="91">
        <v>115.53</v>
      </c>
      <c r="J15" s="91">
        <v>115.53</v>
      </c>
    </row>
    <row r="16" spans="1:10" ht="38.25" x14ac:dyDescent="0.2">
      <c r="A16" s="92"/>
      <c r="B16" s="92"/>
      <c r="C16" s="92"/>
      <c r="D16" s="92"/>
      <c r="E16" s="92" t="s">
        <v>801</v>
      </c>
      <c r="F16" s="93">
        <v>48.69</v>
      </c>
      <c r="G16" s="92" t="s">
        <v>802</v>
      </c>
      <c r="H16" s="93">
        <v>0</v>
      </c>
      <c r="I16" s="92" t="s">
        <v>803</v>
      </c>
      <c r="J16" s="93">
        <v>48.69</v>
      </c>
    </row>
    <row r="17" spans="1:10" ht="38.25" x14ac:dyDescent="0.2">
      <c r="A17" s="92"/>
      <c r="B17" s="92"/>
      <c r="C17" s="92"/>
      <c r="D17" s="92"/>
      <c r="E17" s="92" t="s">
        <v>804</v>
      </c>
      <c r="F17" s="93">
        <v>57.54</v>
      </c>
      <c r="G17" s="92"/>
      <c r="H17" s="127" t="s">
        <v>805</v>
      </c>
      <c r="I17" s="127"/>
      <c r="J17" s="93">
        <v>257.22000000000003</v>
      </c>
    </row>
    <row r="18" spans="1:10" ht="15" thickBot="1" x14ac:dyDescent="0.25">
      <c r="A18" s="77"/>
      <c r="B18" s="77"/>
      <c r="C18" s="77"/>
      <c r="D18" s="77"/>
      <c r="E18" s="77"/>
      <c r="F18" s="77"/>
      <c r="G18" s="77" t="s">
        <v>806</v>
      </c>
      <c r="H18" s="94">
        <v>4.5</v>
      </c>
      <c r="I18" s="77" t="s">
        <v>807</v>
      </c>
      <c r="J18" s="78">
        <v>1157.49</v>
      </c>
    </row>
    <row r="19" spans="1:10" ht="15" thickTop="1" x14ac:dyDescent="0.2">
      <c r="A19" s="95"/>
      <c r="B19" s="95"/>
      <c r="C19" s="95"/>
      <c r="D19" s="95"/>
      <c r="E19" s="95"/>
      <c r="F19" s="95"/>
      <c r="G19" s="95"/>
      <c r="H19" s="95"/>
      <c r="I19" s="95"/>
      <c r="J19" s="95"/>
    </row>
    <row r="20" spans="1:10" ht="15" x14ac:dyDescent="0.2">
      <c r="A20" s="75" t="s">
        <v>658</v>
      </c>
      <c r="B20" s="17" t="s">
        <v>11</v>
      </c>
      <c r="C20" s="75" t="s">
        <v>12</v>
      </c>
      <c r="D20" s="75" t="s">
        <v>2</v>
      </c>
      <c r="E20" s="124" t="s">
        <v>779</v>
      </c>
      <c r="F20" s="124"/>
      <c r="G20" s="76" t="s">
        <v>3</v>
      </c>
      <c r="H20" s="17" t="s">
        <v>4</v>
      </c>
      <c r="I20" s="17" t="s">
        <v>13</v>
      </c>
      <c r="J20" s="17" t="s">
        <v>17</v>
      </c>
    </row>
    <row r="21" spans="1:10" ht="25.5" x14ac:dyDescent="0.2">
      <c r="A21" s="19" t="s">
        <v>780</v>
      </c>
      <c r="B21" s="20" t="s">
        <v>672</v>
      </c>
      <c r="C21" s="19" t="s">
        <v>15</v>
      </c>
      <c r="D21" s="19" t="s">
        <v>571</v>
      </c>
      <c r="E21" s="125">
        <v>2.0299999999999998</v>
      </c>
      <c r="F21" s="125"/>
      <c r="G21" s="21" t="s">
        <v>5</v>
      </c>
      <c r="H21" s="86">
        <v>1</v>
      </c>
      <c r="I21" s="82">
        <v>82.28</v>
      </c>
      <c r="J21" s="82">
        <v>82.28</v>
      </c>
    </row>
    <row r="22" spans="1:10" ht="38.25" x14ac:dyDescent="0.2">
      <c r="A22" s="87" t="s">
        <v>781</v>
      </c>
      <c r="B22" s="88" t="s">
        <v>808</v>
      </c>
      <c r="C22" s="87" t="s">
        <v>15</v>
      </c>
      <c r="D22" s="87" t="s">
        <v>809</v>
      </c>
      <c r="E22" s="126" t="s">
        <v>784</v>
      </c>
      <c r="F22" s="126"/>
      <c r="G22" s="89" t="s">
        <v>785</v>
      </c>
      <c r="H22" s="90">
        <v>0.8</v>
      </c>
      <c r="I22" s="91">
        <v>18.57</v>
      </c>
      <c r="J22" s="91">
        <v>14.85</v>
      </c>
    </row>
    <row r="23" spans="1:10" ht="38.25" x14ac:dyDescent="0.2">
      <c r="A23" s="87" t="s">
        <v>781</v>
      </c>
      <c r="B23" s="88" t="s">
        <v>790</v>
      </c>
      <c r="C23" s="87" t="s">
        <v>15</v>
      </c>
      <c r="D23" s="87" t="s">
        <v>791</v>
      </c>
      <c r="E23" s="126" t="s">
        <v>784</v>
      </c>
      <c r="F23" s="126"/>
      <c r="G23" s="89" t="s">
        <v>785</v>
      </c>
      <c r="H23" s="90">
        <v>0.91</v>
      </c>
      <c r="I23" s="91">
        <v>22.61</v>
      </c>
      <c r="J23" s="91">
        <v>20.57</v>
      </c>
    </row>
    <row r="24" spans="1:10" ht="38.25" x14ac:dyDescent="0.2">
      <c r="A24" s="87" t="s">
        <v>781</v>
      </c>
      <c r="B24" s="88" t="s">
        <v>792</v>
      </c>
      <c r="C24" s="87" t="s">
        <v>15</v>
      </c>
      <c r="D24" s="87" t="s">
        <v>793</v>
      </c>
      <c r="E24" s="126" t="s">
        <v>794</v>
      </c>
      <c r="F24" s="126"/>
      <c r="G24" s="89" t="s">
        <v>78</v>
      </c>
      <c r="H24" s="90">
        <v>1.7423999999999999</v>
      </c>
      <c r="I24" s="91">
        <v>25.9</v>
      </c>
      <c r="J24" s="91">
        <v>45.12</v>
      </c>
    </row>
    <row r="25" spans="1:10" ht="38.25" x14ac:dyDescent="0.2">
      <c r="A25" s="87" t="s">
        <v>781</v>
      </c>
      <c r="B25" s="88" t="s">
        <v>795</v>
      </c>
      <c r="C25" s="87" t="s">
        <v>15</v>
      </c>
      <c r="D25" s="87" t="s">
        <v>796</v>
      </c>
      <c r="E25" s="126" t="s">
        <v>794</v>
      </c>
      <c r="F25" s="126"/>
      <c r="G25" s="89" t="s">
        <v>134</v>
      </c>
      <c r="H25" s="90">
        <v>0.15</v>
      </c>
      <c r="I25" s="91">
        <v>11.64</v>
      </c>
      <c r="J25" s="91">
        <v>1.74</v>
      </c>
    </row>
    <row r="26" spans="1:10" ht="38.25" x14ac:dyDescent="0.2">
      <c r="A26" s="92"/>
      <c r="B26" s="92"/>
      <c r="C26" s="92"/>
      <c r="D26" s="92"/>
      <c r="E26" s="92" t="s">
        <v>801</v>
      </c>
      <c r="F26" s="93">
        <v>35.42</v>
      </c>
      <c r="G26" s="92" t="s">
        <v>802</v>
      </c>
      <c r="H26" s="93">
        <v>0</v>
      </c>
      <c r="I26" s="92" t="s">
        <v>803</v>
      </c>
      <c r="J26" s="93">
        <v>35.42</v>
      </c>
    </row>
    <row r="27" spans="1:10" ht="38.25" x14ac:dyDescent="0.2">
      <c r="A27" s="92"/>
      <c r="B27" s="92"/>
      <c r="C27" s="92"/>
      <c r="D27" s="92"/>
      <c r="E27" s="92" t="s">
        <v>804</v>
      </c>
      <c r="F27" s="93">
        <v>23.71</v>
      </c>
      <c r="G27" s="92"/>
      <c r="H27" s="127" t="s">
        <v>805</v>
      </c>
      <c r="I27" s="127"/>
      <c r="J27" s="93">
        <v>105.99</v>
      </c>
    </row>
    <row r="28" spans="1:10" ht="15" thickBot="1" x14ac:dyDescent="0.25">
      <c r="A28" s="77"/>
      <c r="B28" s="77"/>
      <c r="C28" s="77"/>
      <c r="D28" s="77"/>
      <c r="E28" s="77"/>
      <c r="F28" s="77"/>
      <c r="G28" s="77" t="s">
        <v>806</v>
      </c>
      <c r="H28" s="94">
        <v>217.98</v>
      </c>
      <c r="I28" s="77" t="s">
        <v>807</v>
      </c>
      <c r="J28" s="78">
        <v>23103.7</v>
      </c>
    </row>
    <row r="29" spans="1:10" ht="15" thickTop="1" x14ac:dyDescent="0.2">
      <c r="A29" s="95"/>
      <c r="B29" s="95"/>
      <c r="C29" s="95"/>
      <c r="D29" s="95"/>
      <c r="E29" s="95"/>
      <c r="F29" s="95"/>
      <c r="G29" s="95"/>
      <c r="H29" s="95"/>
      <c r="I29" s="95"/>
      <c r="J29" s="95"/>
    </row>
    <row r="30" spans="1:10" ht="15" x14ac:dyDescent="0.2">
      <c r="A30" s="75" t="s">
        <v>33</v>
      </c>
      <c r="B30" s="17" t="s">
        <v>11</v>
      </c>
      <c r="C30" s="75" t="s">
        <v>12</v>
      </c>
      <c r="D30" s="75" t="s">
        <v>2</v>
      </c>
      <c r="E30" s="124" t="s">
        <v>779</v>
      </c>
      <c r="F30" s="124"/>
      <c r="G30" s="76" t="s">
        <v>3</v>
      </c>
      <c r="H30" s="17" t="s">
        <v>4</v>
      </c>
      <c r="I30" s="17" t="s">
        <v>13</v>
      </c>
      <c r="J30" s="17" t="s">
        <v>17</v>
      </c>
    </row>
    <row r="31" spans="1:10" ht="25.5" x14ac:dyDescent="0.2">
      <c r="A31" s="19" t="s">
        <v>780</v>
      </c>
      <c r="B31" s="20" t="s">
        <v>34</v>
      </c>
      <c r="C31" s="19" t="s">
        <v>15</v>
      </c>
      <c r="D31" s="19" t="s">
        <v>35</v>
      </c>
      <c r="E31" s="125">
        <v>2.02</v>
      </c>
      <c r="F31" s="125"/>
      <c r="G31" s="21" t="s">
        <v>36</v>
      </c>
      <c r="H31" s="86">
        <v>1</v>
      </c>
      <c r="I31" s="82">
        <v>951.24</v>
      </c>
      <c r="J31" s="82">
        <v>951.24</v>
      </c>
    </row>
    <row r="32" spans="1:10" ht="38.25" x14ac:dyDescent="0.2">
      <c r="A32" s="87" t="s">
        <v>781</v>
      </c>
      <c r="B32" s="88" t="s">
        <v>808</v>
      </c>
      <c r="C32" s="87" t="s">
        <v>15</v>
      </c>
      <c r="D32" s="87" t="s">
        <v>809</v>
      </c>
      <c r="E32" s="126" t="s">
        <v>784</v>
      </c>
      <c r="F32" s="126"/>
      <c r="G32" s="89" t="s">
        <v>785</v>
      </c>
      <c r="H32" s="90">
        <v>0.44</v>
      </c>
      <c r="I32" s="91">
        <v>18.57</v>
      </c>
      <c r="J32" s="91">
        <v>8.17</v>
      </c>
    </row>
    <row r="33" spans="1:10" ht="38.25" x14ac:dyDescent="0.2">
      <c r="A33" s="87" t="s">
        <v>781</v>
      </c>
      <c r="B33" s="88" t="s">
        <v>810</v>
      </c>
      <c r="C33" s="87" t="s">
        <v>15</v>
      </c>
      <c r="D33" s="87" t="s">
        <v>811</v>
      </c>
      <c r="E33" s="126" t="s">
        <v>794</v>
      </c>
      <c r="F33" s="126"/>
      <c r="G33" s="89" t="s">
        <v>36</v>
      </c>
      <c r="H33" s="90">
        <v>1</v>
      </c>
      <c r="I33" s="91">
        <v>925.97</v>
      </c>
      <c r="J33" s="91">
        <v>925.97</v>
      </c>
    </row>
    <row r="34" spans="1:10" ht="38.25" x14ac:dyDescent="0.2">
      <c r="A34" s="87" t="s">
        <v>781</v>
      </c>
      <c r="B34" s="88" t="s">
        <v>812</v>
      </c>
      <c r="C34" s="87" t="s">
        <v>15</v>
      </c>
      <c r="D34" s="87" t="s">
        <v>813</v>
      </c>
      <c r="E34" s="126" t="s">
        <v>784</v>
      </c>
      <c r="F34" s="126"/>
      <c r="G34" s="89" t="s">
        <v>785</v>
      </c>
      <c r="H34" s="90">
        <v>0.44</v>
      </c>
      <c r="I34" s="91">
        <v>18.57</v>
      </c>
      <c r="J34" s="91">
        <v>8.17</v>
      </c>
    </row>
    <row r="35" spans="1:10" ht="38.25" x14ac:dyDescent="0.2">
      <c r="A35" s="87" t="s">
        <v>781</v>
      </c>
      <c r="B35" s="88" t="s">
        <v>814</v>
      </c>
      <c r="C35" s="87" t="s">
        <v>15</v>
      </c>
      <c r="D35" s="87" t="s">
        <v>815</v>
      </c>
      <c r="E35" s="126" t="s">
        <v>784</v>
      </c>
      <c r="F35" s="126"/>
      <c r="G35" s="89" t="s">
        <v>785</v>
      </c>
      <c r="H35" s="90">
        <v>0.33</v>
      </c>
      <c r="I35" s="91">
        <v>27.08</v>
      </c>
      <c r="J35" s="91">
        <v>8.93</v>
      </c>
    </row>
    <row r="36" spans="1:10" ht="38.25" x14ac:dyDescent="0.2">
      <c r="A36" s="92"/>
      <c r="B36" s="92"/>
      <c r="C36" s="92"/>
      <c r="D36" s="92"/>
      <c r="E36" s="92" t="s">
        <v>801</v>
      </c>
      <c r="F36" s="93">
        <v>25.27</v>
      </c>
      <c r="G36" s="92" t="s">
        <v>802</v>
      </c>
      <c r="H36" s="93">
        <v>0</v>
      </c>
      <c r="I36" s="92" t="s">
        <v>803</v>
      </c>
      <c r="J36" s="93">
        <v>25.27</v>
      </c>
    </row>
    <row r="37" spans="1:10" ht="38.25" x14ac:dyDescent="0.2">
      <c r="A37" s="92"/>
      <c r="B37" s="92"/>
      <c r="C37" s="92"/>
      <c r="D37" s="92"/>
      <c r="E37" s="92" t="s">
        <v>804</v>
      </c>
      <c r="F37" s="93">
        <v>274.14</v>
      </c>
      <c r="G37" s="92"/>
      <c r="H37" s="127" t="s">
        <v>805</v>
      </c>
      <c r="I37" s="127"/>
      <c r="J37" s="93">
        <v>1225.3800000000001</v>
      </c>
    </row>
    <row r="38" spans="1:10" ht="15" thickBot="1" x14ac:dyDescent="0.25">
      <c r="A38" s="77"/>
      <c r="B38" s="77"/>
      <c r="C38" s="77"/>
      <c r="D38" s="77"/>
      <c r="E38" s="77"/>
      <c r="F38" s="77"/>
      <c r="G38" s="77" t="s">
        <v>806</v>
      </c>
      <c r="H38" s="94">
        <v>3</v>
      </c>
      <c r="I38" s="77" t="s">
        <v>807</v>
      </c>
      <c r="J38" s="78">
        <v>3676.14</v>
      </c>
    </row>
    <row r="39" spans="1:10" ht="15" thickTop="1" x14ac:dyDescent="0.2">
      <c r="A39" s="95"/>
      <c r="B39" s="95"/>
      <c r="C39" s="95"/>
      <c r="D39" s="95"/>
      <c r="E39" s="95"/>
      <c r="F39" s="95"/>
      <c r="G39" s="95"/>
      <c r="H39" s="95"/>
      <c r="I39" s="95"/>
      <c r="J39" s="95"/>
    </row>
    <row r="40" spans="1:10" ht="15" x14ac:dyDescent="0.2">
      <c r="A40" s="75" t="s">
        <v>37</v>
      </c>
      <c r="B40" s="17" t="s">
        <v>11</v>
      </c>
      <c r="C40" s="75" t="s">
        <v>12</v>
      </c>
      <c r="D40" s="75" t="s">
        <v>2</v>
      </c>
      <c r="E40" s="124" t="s">
        <v>779</v>
      </c>
      <c r="F40" s="124"/>
      <c r="G40" s="76" t="s">
        <v>3</v>
      </c>
      <c r="H40" s="17" t="s">
        <v>4</v>
      </c>
      <c r="I40" s="17" t="s">
        <v>13</v>
      </c>
      <c r="J40" s="17" t="s">
        <v>17</v>
      </c>
    </row>
    <row r="41" spans="1:10" ht="25.5" x14ac:dyDescent="0.2">
      <c r="A41" s="19" t="s">
        <v>780</v>
      </c>
      <c r="B41" s="20" t="s">
        <v>38</v>
      </c>
      <c r="C41" s="19" t="s">
        <v>15</v>
      </c>
      <c r="D41" s="19" t="s">
        <v>39</v>
      </c>
      <c r="E41" s="125">
        <v>2.1</v>
      </c>
      <c r="F41" s="125"/>
      <c r="G41" s="21" t="s">
        <v>5</v>
      </c>
      <c r="H41" s="86">
        <v>1</v>
      </c>
      <c r="I41" s="82">
        <v>16.95</v>
      </c>
      <c r="J41" s="82">
        <v>16.95</v>
      </c>
    </row>
    <row r="42" spans="1:10" ht="38.25" x14ac:dyDescent="0.2">
      <c r="A42" s="87" t="s">
        <v>781</v>
      </c>
      <c r="B42" s="88" t="s">
        <v>816</v>
      </c>
      <c r="C42" s="87" t="s">
        <v>15</v>
      </c>
      <c r="D42" s="87" t="s">
        <v>817</v>
      </c>
      <c r="E42" s="126" t="s">
        <v>784</v>
      </c>
      <c r="F42" s="126"/>
      <c r="G42" s="89" t="s">
        <v>785</v>
      </c>
      <c r="H42" s="90">
        <v>0.13</v>
      </c>
      <c r="I42" s="91">
        <v>18.57</v>
      </c>
      <c r="J42" s="91">
        <v>2.41</v>
      </c>
    </row>
    <row r="43" spans="1:10" ht="38.25" x14ac:dyDescent="0.2">
      <c r="A43" s="87" t="s">
        <v>781</v>
      </c>
      <c r="B43" s="88" t="s">
        <v>790</v>
      </c>
      <c r="C43" s="87" t="s">
        <v>15</v>
      </c>
      <c r="D43" s="87" t="s">
        <v>791</v>
      </c>
      <c r="E43" s="126" t="s">
        <v>784</v>
      </c>
      <c r="F43" s="126"/>
      <c r="G43" s="89" t="s">
        <v>785</v>
      </c>
      <c r="H43" s="90">
        <v>0.13</v>
      </c>
      <c r="I43" s="91">
        <v>22.61</v>
      </c>
      <c r="J43" s="91">
        <v>2.93</v>
      </c>
    </row>
    <row r="44" spans="1:10" ht="38.25" x14ac:dyDescent="0.2">
      <c r="A44" s="87" t="s">
        <v>781</v>
      </c>
      <c r="B44" s="88" t="s">
        <v>792</v>
      </c>
      <c r="C44" s="87" t="s">
        <v>15</v>
      </c>
      <c r="D44" s="87" t="s">
        <v>793</v>
      </c>
      <c r="E44" s="126" t="s">
        <v>794</v>
      </c>
      <c r="F44" s="126"/>
      <c r="G44" s="89" t="s">
        <v>78</v>
      </c>
      <c r="H44" s="90">
        <v>0.04</v>
      </c>
      <c r="I44" s="91">
        <v>25.9</v>
      </c>
      <c r="J44" s="91">
        <v>1.03</v>
      </c>
    </row>
    <row r="45" spans="1:10" ht="38.25" x14ac:dyDescent="0.2">
      <c r="A45" s="87" t="s">
        <v>781</v>
      </c>
      <c r="B45" s="88" t="s">
        <v>818</v>
      </c>
      <c r="C45" s="87" t="s">
        <v>15</v>
      </c>
      <c r="D45" s="87" t="s">
        <v>819</v>
      </c>
      <c r="E45" s="126" t="s">
        <v>794</v>
      </c>
      <c r="F45" s="126"/>
      <c r="G45" s="89" t="s">
        <v>5</v>
      </c>
      <c r="H45" s="90">
        <v>0.09</v>
      </c>
      <c r="I45" s="91">
        <v>112.78</v>
      </c>
      <c r="J45" s="91">
        <v>10.15</v>
      </c>
    </row>
    <row r="46" spans="1:10" ht="38.25" x14ac:dyDescent="0.2">
      <c r="A46" s="87" t="s">
        <v>781</v>
      </c>
      <c r="B46" s="88" t="s">
        <v>795</v>
      </c>
      <c r="C46" s="87" t="s">
        <v>15</v>
      </c>
      <c r="D46" s="87" t="s">
        <v>796</v>
      </c>
      <c r="E46" s="126" t="s">
        <v>794</v>
      </c>
      <c r="F46" s="126"/>
      <c r="G46" s="89" t="s">
        <v>134</v>
      </c>
      <c r="H46" s="90">
        <v>1.2E-2</v>
      </c>
      <c r="I46" s="91">
        <v>11.64</v>
      </c>
      <c r="J46" s="91">
        <v>0.13</v>
      </c>
    </row>
    <row r="47" spans="1:10" ht="38.25" x14ac:dyDescent="0.2">
      <c r="A47" s="87" t="s">
        <v>781</v>
      </c>
      <c r="B47" s="88" t="s">
        <v>820</v>
      </c>
      <c r="C47" s="87" t="s">
        <v>15</v>
      </c>
      <c r="D47" s="87" t="s">
        <v>821</v>
      </c>
      <c r="E47" s="126" t="s">
        <v>794</v>
      </c>
      <c r="F47" s="126"/>
      <c r="G47" s="89" t="s">
        <v>134</v>
      </c>
      <c r="H47" s="90">
        <v>0.02</v>
      </c>
      <c r="I47" s="91">
        <v>15.46</v>
      </c>
      <c r="J47" s="91">
        <v>0.3</v>
      </c>
    </row>
    <row r="48" spans="1:10" ht="38.25" x14ac:dyDescent="0.2">
      <c r="A48" s="92"/>
      <c r="B48" s="92"/>
      <c r="C48" s="92"/>
      <c r="D48" s="92"/>
      <c r="E48" s="92" t="s">
        <v>801</v>
      </c>
      <c r="F48" s="93">
        <v>5.34</v>
      </c>
      <c r="G48" s="92" t="s">
        <v>802</v>
      </c>
      <c r="H48" s="93">
        <v>0</v>
      </c>
      <c r="I48" s="92" t="s">
        <v>803</v>
      </c>
      <c r="J48" s="93">
        <v>5.34</v>
      </c>
    </row>
    <row r="49" spans="1:10" ht="38.25" x14ac:dyDescent="0.2">
      <c r="A49" s="92"/>
      <c r="B49" s="92"/>
      <c r="C49" s="92"/>
      <c r="D49" s="92"/>
      <c r="E49" s="92" t="s">
        <v>804</v>
      </c>
      <c r="F49" s="93">
        <v>4.88</v>
      </c>
      <c r="G49" s="92"/>
      <c r="H49" s="127" t="s">
        <v>805</v>
      </c>
      <c r="I49" s="127"/>
      <c r="J49" s="93">
        <v>21.83</v>
      </c>
    </row>
    <row r="50" spans="1:10" ht="15" thickBot="1" x14ac:dyDescent="0.25">
      <c r="A50" s="77"/>
      <c r="B50" s="77"/>
      <c r="C50" s="77"/>
      <c r="D50" s="77"/>
      <c r="E50" s="77"/>
      <c r="F50" s="77"/>
      <c r="G50" s="77" t="s">
        <v>806</v>
      </c>
      <c r="H50" s="94">
        <v>102.81</v>
      </c>
      <c r="I50" s="77" t="s">
        <v>807</v>
      </c>
      <c r="J50" s="78">
        <v>2244.34</v>
      </c>
    </row>
    <row r="51" spans="1:10" ht="15" thickTop="1" x14ac:dyDescent="0.2">
      <c r="A51" s="95"/>
      <c r="B51" s="95"/>
      <c r="C51" s="95"/>
      <c r="D51" s="95"/>
      <c r="E51" s="95"/>
      <c r="F51" s="95"/>
      <c r="G51" s="95"/>
      <c r="H51" s="95"/>
      <c r="I51" s="95"/>
      <c r="J51" s="95"/>
    </row>
    <row r="52" spans="1:10" x14ac:dyDescent="0.2">
      <c r="A52" s="18" t="s">
        <v>40</v>
      </c>
      <c r="B52" s="18"/>
      <c r="C52" s="18"/>
      <c r="D52" s="18" t="s">
        <v>41</v>
      </c>
      <c r="E52" s="18"/>
      <c r="F52" s="122"/>
      <c r="G52" s="122"/>
      <c r="H52" s="39"/>
      <c r="I52" s="18"/>
      <c r="J52" s="80">
        <v>2669.38</v>
      </c>
    </row>
    <row r="53" spans="1:10" ht="15" x14ac:dyDescent="0.2">
      <c r="A53" s="75" t="s">
        <v>42</v>
      </c>
      <c r="B53" s="17" t="s">
        <v>11</v>
      </c>
      <c r="C53" s="75" t="s">
        <v>12</v>
      </c>
      <c r="D53" s="75" t="s">
        <v>2</v>
      </c>
      <c r="E53" s="124" t="s">
        <v>779</v>
      </c>
      <c r="F53" s="124"/>
      <c r="G53" s="76" t="s">
        <v>3</v>
      </c>
      <c r="H53" s="17" t="s">
        <v>4</v>
      </c>
      <c r="I53" s="17" t="s">
        <v>13</v>
      </c>
      <c r="J53" s="17" t="s">
        <v>17</v>
      </c>
    </row>
    <row r="54" spans="1:10" ht="25.5" x14ac:dyDescent="0.2">
      <c r="A54" s="19" t="s">
        <v>780</v>
      </c>
      <c r="B54" s="20" t="s">
        <v>43</v>
      </c>
      <c r="C54" s="19" t="s">
        <v>15</v>
      </c>
      <c r="D54" s="19" t="s">
        <v>44</v>
      </c>
      <c r="E54" s="125">
        <v>1.17</v>
      </c>
      <c r="F54" s="125"/>
      <c r="G54" s="21" t="s">
        <v>32</v>
      </c>
      <c r="H54" s="86">
        <v>1</v>
      </c>
      <c r="I54" s="82">
        <v>1036.0899999999999</v>
      </c>
      <c r="J54" s="82">
        <v>1036.0899999999999</v>
      </c>
    </row>
    <row r="55" spans="1:10" ht="38.25" x14ac:dyDescent="0.2">
      <c r="A55" s="87" t="s">
        <v>781</v>
      </c>
      <c r="B55" s="88" t="s">
        <v>822</v>
      </c>
      <c r="C55" s="87" t="s">
        <v>15</v>
      </c>
      <c r="D55" s="87" t="s">
        <v>823</v>
      </c>
      <c r="E55" s="126" t="s">
        <v>784</v>
      </c>
      <c r="F55" s="126"/>
      <c r="G55" s="89" t="s">
        <v>785</v>
      </c>
      <c r="H55" s="90">
        <v>0.5</v>
      </c>
      <c r="I55" s="91">
        <v>309.37</v>
      </c>
      <c r="J55" s="91">
        <v>154.68</v>
      </c>
    </row>
    <row r="56" spans="1:10" ht="38.25" x14ac:dyDescent="0.2">
      <c r="A56" s="87" t="s">
        <v>781</v>
      </c>
      <c r="B56" s="88" t="s">
        <v>824</v>
      </c>
      <c r="C56" s="87" t="s">
        <v>15</v>
      </c>
      <c r="D56" s="87" t="s">
        <v>825</v>
      </c>
      <c r="E56" s="126" t="s">
        <v>784</v>
      </c>
      <c r="F56" s="126"/>
      <c r="G56" s="89" t="s">
        <v>785</v>
      </c>
      <c r="H56" s="90">
        <v>0.7</v>
      </c>
      <c r="I56" s="91">
        <v>183.1</v>
      </c>
      <c r="J56" s="91">
        <v>128.16999999999999</v>
      </c>
    </row>
    <row r="57" spans="1:10" ht="38.25" x14ac:dyDescent="0.2">
      <c r="A57" s="87" t="s">
        <v>781</v>
      </c>
      <c r="B57" s="88" t="s">
        <v>826</v>
      </c>
      <c r="C57" s="87" t="s">
        <v>15</v>
      </c>
      <c r="D57" s="87" t="s">
        <v>827</v>
      </c>
      <c r="E57" s="126" t="s">
        <v>784</v>
      </c>
      <c r="F57" s="126"/>
      <c r="G57" s="89" t="s">
        <v>785</v>
      </c>
      <c r="H57" s="90">
        <v>1</v>
      </c>
      <c r="I57" s="91">
        <v>116.04</v>
      </c>
      <c r="J57" s="91">
        <v>116.04</v>
      </c>
    </row>
    <row r="58" spans="1:10" ht="38.25" x14ac:dyDescent="0.2">
      <c r="A58" s="87" t="s">
        <v>781</v>
      </c>
      <c r="B58" s="88" t="s">
        <v>828</v>
      </c>
      <c r="C58" s="87" t="s">
        <v>15</v>
      </c>
      <c r="D58" s="87" t="s">
        <v>829</v>
      </c>
      <c r="E58" s="126" t="s">
        <v>784</v>
      </c>
      <c r="F58" s="126"/>
      <c r="G58" s="89" t="s">
        <v>785</v>
      </c>
      <c r="H58" s="90">
        <v>3.6</v>
      </c>
      <c r="I58" s="91">
        <v>100.63</v>
      </c>
      <c r="J58" s="91">
        <v>362.26</v>
      </c>
    </row>
    <row r="59" spans="1:10" ht="38.25" x14ac:dyDescent="0.2">
      <c r="A59" s="87" t="s">
        <v>781</v>
      </c>
      <c r="B59" s="88" t="s">
        <v>830</v>
      </c>
      <c r="C59" s="87" t="s">
        <v>15</v>
      </c>
      <c r="D59" s="87" t="s">
        <v>831</v>
      </c>
      <c r="E59" s="126" t="s">
        <v>784</v>
      </c>
      <c r="F59" s="126"/>
      <c r="G59" s="89" t="s">
        <v>785</v>
      </c>
      <c r="H59" s="90">
        <v>5.9</v>
      </c>
      <c r="I59" s="91">
        <v>46.6</v>
      </c>
      <c r="J59" s="91">
        <v>274.94</v>
      </c>
    </row>
    <row r="60" spans="1:10" ht="38.25" x14ac:dyDescent="0.2">
      <c r="A60" s="92"/>
      <c r="B60" s="92"/>
      <c r="C60" s="92"/>
      <c r="D60" s="92"/>
      <c r="E60" s="92" t="s">
        <v>801</v>
      </c>
      <c r="F60" s="93">
        <v>1036.0899999999999</v>
      </c>
      <c r="G60" s="92" t="s">
        <v>802</v>
      </c>
      <c r="H60" s="93">
        <v>0</v>
      </c>
      <c r="I60" s="92" t="s">
        <v>803</v>
      </c>
      <c r="J60" s="93">
        <v>1036.0899999999999</v>
      </c>
    </row>
    <row r="61" spans="1:10" ht="38.25" x14ac:dyDescent="0.2">
      <c r="A61" s="92"/>
      <c r="B61" s="92"/>
      <c r="C61" s="92"/>
      <c r="D61" s="92"/>
      <c r="E61" s="92" t="s">
        <v>804</v>
      </c>
      <c r="F61" s="93">
        <v>298.60000000000002</v>
      </c>
      <c r="G61" s="92"/>
      <c r="H61" s="127" t="s">
        <v>805</v>
      </c>
      <c r="I61" s="127"/>
      <c r="J61" s="93">
        <v>1334.69</v>
      </c>
    </row>
    <row r="62" spans="1:10" ht="15" thickBot="1" x14ac:dyDescent="0.25">
      <c r="A62" s="77"/>
      <c r="B62" s="77"/>
      <c r="C62" s="77"/>
      <c r="D62" s="77"/>
      <c r="E62" s="77"/>
      <c r="F62" s="77"/>
      <c r="G62" s="77" t="s">
        <v>806</v>
      </c>
      <c r="H62" s="94">
        <v>2</v>
      </c>
      <c r="I62" s="77" t="s">
        <v>807</v>
      </c>
      <c r="J62" s="78">
        <v>2669.38</v>
      </c>
    </row>
    <row r="63" spans="1:10" ht="15" thickTop="1" x14ac:dyDescent="0.2">
      <c r="A63" s="95"/>
      <c r="B63" s="95"/>
      <c r="C63" s="95"/>
      <c r="D63" s="95"/>
      <c r="E63" s="95"/>
      <c r="F63" s="95"/>
      <c r="G63" s="95"/>
      <c r="H63" s="95"/>
      <c r="I63" s="95"/>
      <c r="J63" s="95"/>
    </row>
    <row r="64" spans="1:10" x14ac:dyDescent="0.2">
      <c r="A64" s="18" t="s">
        <v>45</v>
      </c>
      <c r="B64" s="18"/>
      <c r="C64" s="18"/>
      <c r="D64" s="18" t="s">
        <v>46</v>
      </c>
      <c r="E64" s="18"/>
      <c r="F64" s="122"/>
      <c r="G64" s="122"/>
      <c r="H64" s="39"/>
      <c r="I64" s="18"/>
      <c r="J64" s="80">
        <v>52115.55</v>
      </c>
    </row>
    <row r="65" spans="1:10" ht="15" x14ac:dyDescent="0.2">
      <c r="A65" s="75" t="s">
        <v>47</v>
      </c>
      <c r="B65" s="17" t="s">
        <v>11</v>
      </c>
      <c r="C65" s="75" t="s">
        <v>12</v>
      </c>
      <c r="D65" s="75" t="s">
        <v>2</v>
      </c>
      <c r="E65" s="124" t="s">
        <v>779</v>
      </c>
      <c r="F65" s="124"/>
      <c r="G65" s="76" t="s">
        <v>3</v>
      </c>
      <c r="H65" s="17" t="s">
        <v>4</v>
      </c>
      <c r="I65" s="17" t="s">
        <v>13</v>
      </c>
      <c r="J65" s="17" t="s">
        <v>17</v>
      </c>
    </row>
    <row r="66" spans="1:10" ht="25.5" x14ac:dyDescent="0.2">
      <c r="A66" s="19" t="s">
        <v>780</v>
      </c>
      <c r="B66" s="20" t="s">
        <v>48</v>
      </c>
      <c r="C66" s="19" t="s">
        <v>15</v>
      </c>
      <c r="D66" s="19" t="s">
        <v>49</v>
      </c>
      <c r="E66" s="125">
        <v>3.01</v>
      </c>
      <c r="F66" s="125"/>
      <c r="G66" s="21" t="s">
        <v>50</v>
      </c>
      <c r="H66" s="86">
        <v>1</v>
      </c>
      <c r="I66" s="82">
        <v>371.4</v>
      </c>
      <c r="J66" s="82">
        <v>371.4</v>
      </c>
    </row>
    <row r="67" spans="1:10" ht="38.25" x14ac:dyDescent="0.2">
      <c r="A67" s="87" t="s">
        <v>781</v>
      </c>
      <c r="B67" s="88" t="s">
        <v>816</v>
      </c>
      <c r="C67" s="87" t="s">
        <v>15</v>
      </c>
      <c r="D67" s="87" t="s">
        <v>817</v>
      </c>
      <c r="E67" s="126" t="s">
        <v>784</v>
      </c>
      <c r="F67" s="126"/>
      <c r="G67" s="89" t="s">
        <v>785</v>
      </c>
      <c r="H67" s="90">
        <v>20</v>
      </c>
      <c r="I67" s="91">
        <v>18.57</v>
      </c>
      <c r="J67" s="91">
        <v>371.4</v>
      </c>
    </row>
    <row r="68" spans="1:10" ht="38.25" x14ac:dyDescent="0.2">
      <c r="A68" s="92"/>
      <c r="B68" s="92"/>
      <c r="C68" s="92"/>
      <c r="D68" s="92"/>
      <c r="E68" s="92" t="s">
        <v>801</v>
      </c>
      <c r="F68" s="93">
        <v>371.4</v>
      </c>
      <c r="G68" s="92" t="s">
        <v>802</v>
      </c>
      <c r="H68" s="93">
        <v>0</v>
      </c>
      <c r="I68" s="92" t="s">
        <v>803</v>
      </c>
      <c r="J68" s="93">
        <v>371.4</v>
      </c>
    </row>
    <row r="69" spans="1:10" ht="38.25" x14ac:dyDescent="0.2">
      <c r="A69" s="92"/>
      <c r="B69" s="92"/>
      <c r="C69" s="92"/>
      <c r="D69" s="92"/>
      <c r="E69" s="92" t="s">
        <v>804</v>
      </c>
      <c r="F69" s="93">
        <v>107.03</v>
      </c>
      <c r="G69" s="92"/>
      <c r="H69" s="127" t="s">
        <v>805</v>
      </c>
      <c r="I69" s="127"/>
      <c r="J69" s="93">
        <v>478.43</v>
      </c>
    </row>
    <row r="70" spans="1:10" ht="15" thickBot="1" x14ac:dyDescent="0.25">
      <c r="A70" s="77"/>
      <c r="B70" s="77"/>
      <c r="C70" s="77"/>
      <c r="D70" s="77"/>
      <c r="E70" s="77"/>
      <c r="F70" s="77"/>
      <c r="G70" s="77" t="s">
        <v>806</v>
      </c>
      <c r="H70" s="94">
        <v>1.08</v>
      </c>
      <c r="I70" s="77" t="s">
        <v>807</v>
      </c>
      <c r="J70" s="78">
        <v>516.70000000000005</v>
      </c>
    </row>
    <row r="71" spans="1:10" ht="15" thickTop="1" x14ac:dyDescent="0.2">
      <c r="A71" s="95"/>
      <c r="B71" s="95"/>
      <c r="C71" s="95"/>
      <c r="D71" s="95"/>
      <c r="E71" s="95"/>
      <c r="F71" s="95"/>
      <c r="G71" s="95"/>
      <c r="H71" s="95"/>
      <c r="I71" s="95"/>
      <c r="J71" s="95"/>
    </row>
    <row r="72" spans="1:10" ht="15" x14ac:dyDescent="0.2">
      <c r="A72" s="75" t="s">
        <v>51</v>
      </c>
      <c r="B72" s="17" t="s">
        <v>11</v>
      </c>
      <c r="C72" s="75" t="s">
        <v>12</v>
      </c>
      <c r="D72" s="75" t="s">
        <v>2</v>
      </c>
      <c r="E72" s="124" t="s">
        <v>779</v>
      </c>
      <c r="F72" s="124"/>
      <c r="G72" s="76" t="s">
        <v>3</v>
      </c>
      <c r="H72" s="17" t="s">
        <v>4</v>
      </c>
      <c r="I72" s="17" t="s">
        <v>13</v>
      </c>
      <c r="J72" s="17" t="s">
        <v>17</v>
      </c>
    </row>
    <row r="73" spans="1:10" ht="25.5" x14ac:dyDescent="0.2">
      <c r="A73" s="19" t="s">
        <v>780</v>
      </c>
      <c r="B73" s="20" t="s">
        <v>52</v>
      </c>
      <c r="C73" s="19" t="s">
        <v>15</v>
      </c>
      <c r="D73" s="19" t="s">
        <v>53</v>
      </c>
      <c r="E73" s="125">
        <v>3.02</v>
      </c>
      <c r="F73" s="125"/>
      <c r="G73" s="21" t="s">
        <v>50</v>
      </c>
      <c r="H73" s="86">
        <v>1</v>
      </c>
      <c r="I73" s="82">
        <v>74.28</v>
      </c>
      <c r="J73" s="82">
        <v>74.28</v>
      </c>
    </row>
    <row r="74" spans="1:10" ht="38.25" x14ac:dyDescent="0.2">
      <c r="A74" s="87" t="s">
        <v>781</v>
      </c>
      <c r="B74" s="88" t="s">
        <v>816</v>
      </c>
      <c r="C74" s="87" t="s">
        <v>15</v>
      </c>
      <c r="D74" s="87" t="s">
        <v>817</v>
      </c>
      <c r="E74" s="126" t="s">
        <v>784</v>
      </c>
      <c r="F74" s="126"/>
      <c r="G74" s="89" t="s">
        <v>785</v>
      </c>
      <c r="H74" s="90">
        <v>4</v>
      </c>
      <c r="I74" s="91">
        <v>18.57</v>
      </c>
      <c r="J74" s="91">
        <v>74.28</v>
      </c>
    </row>
    <row r="75" spans="1:10" ht="38.25" x14ac:dyDescent="0.2">
      <c r="A75" s="92"/>
      <c r="B75" s="92"/>
      <c r="C75" s="92"/>
      <c r="D75" s="92"/>
      <c r="E75" s="92" t="s">
        <v>801</v>
      </c>
      <c r="F75" s="93">
        <v>74.28</v>
      </c>
      <c r="G75" s="92" t="s">
        <v>802</v>
      </c>
      <c r="H75" s="93">
        <v>0</v>
      </c>
      <c r="I75" s="92" t="s">
        <v>803</v>
      </c>
      <c r="J75" s="93">
        <v>74.28</v>
      </c>
    </row>
    <row r="76" spans="1:10" ht="38.25" x14ac:dyDescent="0.2">
      <c r="A76" s="92"/>
      <c r="B76" s="92"/>
      <c r="C76" s="92"/>
      <c r="D76" s="92"/>
      <c r="E76" s="92" t="s">
        <v>804</v>
      </c>
      <c r="F76" s="93">
        <v>21.4</v>
      </c>
      <c r="G76" s="92"/>
      <c r="H76" s="127" t="s">
        <v>805</v>
      </c>
      <c r="I76" s="127"/>
      <c r="J76" s="93">
        <v>95.68</v>
      </c>
    </row>
    <row r="77" spans="1:10" ht="15" thickBot="1" x14ac:dyDescent="0.25">
      <c r="A77" s="77"/>
      <c r="B77" s="77"/>
      <c r="C77" s="77"/>
      <c r="D77" s="77"/>
      <c r="E77" s="77"/>
      <c r="F77" s="77"/>
      <c r="G77" s="77" t="s">
        <v>806</v>
      </c>
      <c r="H77" s="94">
        <v>9</v>
      </c>
      <c r="I77" s="77" t="s">
        <v>807</v>
      </c>
      <c r="J77" s="78">
        <v>861.12</v>
      </c>
    </row>
    <row r="78" spans="1:10" ht="15" thickTop="1" x14ac:dyDescent="0.2">
      <c r="A78" s="95"/>
      <c r="B78" s="95"/>
      <c r="C78" s="95"/>
      <c r="D78" s="95"/>
      <c r="E78" s="95"/>
      <c r="F78" s="95"/>
      <c r="G78" s="95"/>
      <c r="H78" s="95"/>
      <c r="I78" s="95"/>
      <c r="J78" s="95"/>
    </row>
    <row r="79" spans="1:10" ht="15" x14ac:dyDescent="0.2">
      <c r="A79" s="75" t="s">
        <v>54</v>
      </c>
      <c r="B79" s="17" t="s">
        <v>11</v>
      </c>
      <c r="C79" s="75" t="s">
        <v>12</v>
      </c>
      <c r="D79" s="75" t="s">
        <v>2</v>
      </c>
      <c r="E79" s="124" t="s">
        <v>779</v>
      </c>
      <c r="F79" s="124"/>
      <c r="G79" s="76" t="s">
        <v>3</v>
      </c>
      <c r="H79" s="17" t="s">
        <v>4</v>
      </c>
      <c r="I79" s="17" t="s">
        <v>13</v>
      </c>
      <c r="J79" s="17" t="s">
        <v>17</v>
      </c>
    </row>
    <row r="80" spans="1:10" ht="25.5" x14ac:dyDescent="0.2">
      <c r="A80" s="19" t="s">
        <v>780</v>
      </c>
      <c r="B80" s="20" t="s">
        <v>55</v>
      </c>
      <c r="C80" s="19" t="s">
        <v>15</v>
      </c>
      <c r="D80" s="19" t="s">
        <v>56</v>
      </c>
      <c r="E80" s="125">
        <v>4.0199999999999996</v>
      </c>
      <c r="F80" s="125"/>
      <c r="G80" s="21" t="s">
        <v>5</v>
      </c>
      <c r="H80" s="86">
        <v>1</v>
      </c>
      <c r="I80" s="82">
        <v>12.35</v>
      </c>
      <c r="J80" s="82">
        <v>12.35</v>
      </c>
    </row>
    <row r="81" spans="1:10" ht="38.25" x14ac:dyDescent="0.2">
      <c r="A81" s="87" t="s">
        <v>781</v>
      </c>
      <c r="B81" s="88" t="s">
        <v>790</v>
      </c>
      <c r="C81" s="87" t="s">
        <v>15</v>
      </c>
      <c r="D81" s="87" t="s">
        <v>791</v>
      </c>
      <c r="E81" s="126" t="s">
        <v>784</v>
      </c>
      <c r="F81" s="126"/>
      <c r="G81" s="89" t="s">
        <v>785</v>
      </c>
      <c r="H81" s="90">
        <v>0.3</v>
      </c>
      <c r="I81" s="91">
        <v>22.61</v>
      </c>
      <c r="J81" s="91">
        <v>6.78</v>
      </c>
    </row>
    <row r="82" spans="1:10" ht="38.25" x14ac:dyDescent="0.2">
      <c r="A82" s="87" t="s">
        <v>781</v>
      </c>
      <c r="B82" s="88" t="s">
        <v>782</v>
      </c>
      <c r="C82" s="87" t="s">
        <v>15</v>
      </c>
      <c r="D82" s="87" t="s">
        <v>783</v>
      </c>
      <c r="E82" s="126" t="s">
        <v>784</v>
      </c>
      <c r="F82" s="126"/>
      <c r="G82" s="89" t="s">
        <v>785</v>
      </c>
      <c r="H82" s="90">
        <v>0.3</v>
      </c>
      <c r="I82" s="91">
        <v>18.57</v>
      </c>
      <c r="J82" s="91">
        <v>5.57</v>
      </c>
    </row>
    <row r="83" spans="1:10" ht="38.25" x14ac:dyDescent="0.2">
      <c r="A83" s="92"/>
      <c r="B83" s="92"/>
      <c r="C83" s="92"/>
      <c r="D83" s="92"/>
      <c r="E83" s="92" t="s">
        <v>801</v>
      </c>
      <c r="F83" s="93">
        <v>12.35</v>
      </c>
      <c r="G83" s="92" t="s">
        <v>802</v>
      </c>
      <c r="H83" s="93">
        <v>0</v>
      </c>
      <c r="I83" s="92" t="s">
        <v>803</v>
      </c>
      <c r="J83" s="93">
        <v>12.35</v>
      </c>
    </row>
    <row r="84" spans="1:10" ht="38.25" x14ac:dyDescent="0.2">
      <c r="A84" s="92"/>
      <c r="B84" s="92"/>
      <c r="C84" s="92"/>
      <c r="D84" s="92"/>
      <c r="E84" s="92" t="s">
        <v>804</v>
      </c>
      <c r="F84" s="93">
        <v>3.55</v>
      </c>
      <c r="G84" s="92"/>
      <c r="H84" s="127" t="s">
        <v>805</v>
      </c>
      <c r="I84" s="127"/>
      <c r="J84" s="93">
        <v>15.9</v>
      </c>
    </row>
    <row r="85" spans="1:10" ht="15" thickBot="1" x14ac:dyDescent="0.25">
      <c r="A85" s="77"/>
      <c r="B85" s="77"/>
      <c r="C85" s="77"/>
      <c r="D85" s="77"/>
      <c r="E85" s="77"/>
      <c r="F85" s="77"/>
      <c r="G85" s="77" t="s">
        <v>806</v>
      </c>
      <c r="H85" s="94">
        <v>81.569999999999993</v>
      </c>
      <c r="I85" s="77" t="s">
        <v>807</v>
      </c>
      <c r="J85" s="78">
        <v>1296.96</v>
      </c>
    </row>
    <row r="86" spans="1:10" ht="15" thickTop="1" x14ac:dyDescent="0.2">
      <c r="A86" s="95"/>
      <c r="B86" s="95"/>
      <c r="C86" s="95"/>
      <c r="D86" s="95"/>
      <c r="E86" s="95"/>
      <c r="F86" s="95"/>
      <c r="G86" s="95"/>
      <c r="H86" s="95"/>
      <c r="I86" s="95"/>
      <c r="J86" s="95"/>
    </row>
    <row r="87" spans="1:10" ht="15" x14ac:dyDescent="0.2">
      <c r="A87" s="75" t="s">
        <v>57</v>
      </c>
      <c r="B87" s="17" t="s">
        <v>11</v>
      </c>
      <c r="C87" s="75" t="s">
        <v>12</v>
      </c>
      <c r="D87" s="75" t="s">
        <v>2</v>
      </c>
      <c r="E87" s="124" t="s">
        <v>779</v>
      </c>
      <c r="F87" s="124"/>
      <c r="G87" s="76" t="s">
        <v>3</v>
      </c>
      <c r="H87" s="17" t="s">
        <v>4</v>
      </c>
      <c r="I87" s="17" t="s">
        <v>13</v>
      </c>
      <c r="J87" s="17" t="s">
        <v>17</v>
      </c>
    </row>
    <row r="88" spans="1:10" ht="25.5" x14ac:dyDescent="0.2">
      <c r="A88" s="19" t="s">
        <v>780</v>
      </c>
      <c r="B88" s="20" t="s">
        <v>58</v>
      </c>
      <c r="C88" s="19" t="s">
        <v>15</v>
      </c>
      <c r="D88" s="19" t="s">
        <v>59</v>
      </c>
      <c r="E88" s="125">
        <v>4.03</v>
      </c>
      <c r="F88" s="125"/>
      <c r="G88" s="21" t="s">
        <v>5</v>
      </c>
      <c r="H88" s="86">
        <v>1</v>
      </c>
      <c r="I88" s="82">
        <v>7.42</v>
      </c>
      <c r="J88" s="82">
        <v>7.42</v>
      </c>
    </row>
    <row r="89" spans="1:10" ht="38.25" x14ac:dyDescent="0.2">
      <c r="A89" s="87" t="s">
        <v>781</v>
      </c>
      <c r="B89" s="88" t="s">
        <v>782</v>
      </c>
      <c r="C89" s="87" t="s">
        <v>15</v>
      </c>
      <c r="D89" s="87" t="s">
        <v>783</v>
      </c>
      <c r="E89" s="126" t="s">
        <v>784</v>
      </c>
      <c r="F89" s="126"/>
      <c r="G89" s="89" t="s">
        <v>785</v>
      </c>
      <c r="H89" s="90">
        <v>0.4</v>
      </c>
      <c r="I89" s="91">
        <v>18.57</v>
      </c>
      <c r="J89" s="91">
        <v>7.42</v>
      </c>
    </row>
    <row r="90" spans="1:10" ht="38.25" x14ac:dyDescent="0.2">
      <c r="A90" s="92"/>
      <c r="B90" s="92"/>
      <c r="C90" s="92"/>
      <c r="D90" s="92"/>
      <c r="E90" s="92" t="s">
        <v>801</v>
      </c>
      <c r="F90" s="93">
        <v>7.42</v>
      </c>
      <c r="G90" s="92" t="s">
        <v>802</v>
      </c>
      <c r="H90" s="93">
        <v>0</v>
      </c>
      <c r="I90" s="92" t="s">
        <v>803</v>
      </c>
      <c r="J90" s="93">
        <v>7.42</v>
      </c>
    </row>
    <row r="91" spans="1:10" ht="38.25" x14ac:dyDescent="0.2">
      <c r="A91" s="92"/>
      <c r="B91" s="92"/>
      <c r="C91" s="92"/>
      <c r="D91" s="92"/>
      <c r="E91" s="92" t="s">
        <v>804</v>
      </c>
      <c r="F91" s="93">
        <v>2.13</v>
      </c>
      <c r="G91" s="92"/>
      <c r="H91" s="127" t="s">
        <v>805</v>
      </c>
      <c r="I91" s="127"/>
      <c r="J91" s="93">
        <v>9.5500000000000007</v>
      </c>
    </row>
    <row r="92" spans="1:10" ht="15" thickBot="1" x14ac:dyDescent="0.25">
      <c r="A92" s="77"/>
      <c r="B92" s="77"/>
      <c r="C92" s="77"/>
      <c r="D92" s="77"/>
      <c r="E92" s="77"/>
      <c r="F92" s="77"/>
      <c r="G92" s="77" t="s">
        <v>806</v>
      </c>
      <c r="H92" s="94">
        <v>81.569999999999993</v>
      </c>
      <c r="I92" s="77" t="s">
        <v>807</v>
      </c>
      <c r="J92" s="78">
        <v>778.99</v>
      </c>
    </row>
    <row r="93" spans="1:10" ht="15" thickTop="1" x14ac:dyDescent="0.2">
      <c r="A93" s="95"/>
      <c r="B93" s="95"/>
      <c r="C93" s="95"/>
      <c r="D93" s="95"/>
      <c r="E93" s="95"/>
      <c r="F93" s="95"/>
      <c r="G93" s="95"/>
      <c r="H93" s="95"/>
      <c r="I93" s="95"/>
      <c r="J93" s="95"/>
    </row>
    <row r="94" spans="1:10" ht="15" x14ac:dyDescent="0.2">
      <c r="A94" s="75" t="s">
        <v>60</v>
      </c>
      <c r="B94" s="17" t="s">
        <v>11</v>
      </c>
      <c r="C94" s="75" t="s">
        <v>12</v>
      </c>
      <c r="D94" s="75" t="s">
        <v>2</v>
      </c>
      <c r="E94" s="124" t="s">
        <v>779</v>
      </c>
      <c r="F94" s="124"/>
      <c r="G94" s="76" t="s">
        <v>3</v>
      </c>
      <c r="H94" s="17" t="s">
        <v>4</v>
      </c>
      <c r="I94" s="17" t="s">
        <v>13</v>
      </c>
      <c r="J94" s="17" t="s">
        <v>17</v>
      </c>
    </row>
    <row r="95" spans="1:10" ht="25.5" x14ac:dyDescent="0.2">
      <c r="A95" s="19" t="s">
        <v>780</v>
      </c>
      <c r="B95" s="20" t="s">
        <v>61</v>
      </c>
      <c r="C95" s="19" t="s">
        <v>15</v>
      </c>
      <c r="D95" s="19" t="s">
        <v>62</v>
      </c>
      <c r="E95" s="125">
        <v>4.09</v>
      </c>
      <c r="F95" s="125"/>
      <c r="G95" s="21" t="s">
        <v>5</v>
      </c>
      <c r="H95" s="86">
        <v>1</v>
      </c>
      <c r="I95" s="82">
        <v>28.81</v>
      </c>
      <c r="J95" s="82">
        <v>28.81</v>
      </c>
    </row>
    <row r="96" spans="1:10" ht="38.25" x14ac:dyDescent="0.2">
      <c r="A96" s="87" t="s">
        <v>781</v>
      </c>
      <c r="B96" s="88" t="s">
        <v>832</v>
      </c>
      <c r="C96" s="87" t="s">
        <v>15</v>
      </c>
      <c r="D96" s="87" t="s">
        <v>833</v>
      </c>
      <c r="E96" s="126" t="s">
        <v>784</v>
      </c>
      <c r="F96" s="126"/>
      <c r="G96" s="89" t="s">
        <v>785</v>
      </c>
      <c r="H96" s="90">
        <v>0.7</v>
      </c>
      <c r="I96" s="91">
        <v>22.61</v>
      </c>
      <c r="J96" s="91">
        <v>15.82</v>
      </c>
    </row>
    <row r="97" spans="1:10" ht="38.25" x14ac:dyDescent="0.2">
      <c r="A97" s="87" t="s">
        <v>781</v>
      </c>
      <c r="B97" s="88" t="s">
        <v>816</v>
      </c>
      <c r="C97" s="87" t="s">
        <v>15</v>
      </c>
      <c r="D97" s="87" t="s">
        <v>817</v>
      </c>
      <c r="E97" s="126" t="s">
        <v>784</v>
      </c>
      <c r="F97" s="126"/>
      <c r="G97" s="89" t="s">
        <v>785</v>
      </c>
      <c r="H97" s="90">
        <v>0.7</v>
      </c>
      <c r="I97" s="91">
        <v>18.57</v>
      </c>
      <c r="J97" s="91">
        <v>12.99</v>
      </c>
    </row>
    <row r="98" spans="1:10" ht="38.25" x14ac:dyDescent="0.2">
      <c r="A98" s="92"/>
      <c r="B98" s="92"/>
      <c r="C98" s="92"/>
      <c r="D98" s="92"/>
      <c r="E98" s="92" t="s">
        <v>801</v>
      </c>
      <c r="F98" s="93">
        <v>28.81</v>
      </c>
      <c r="G98" s="92" t="s">
        <v>802</v>
      </c>
      <c r="H98" s="93">
        <v>0</v>
      </c>
      <c r="I98" s="92" t="s">
        <v>803</v>
      </c>
      <c r="J98" s="93">
        <v>28.81</v>
      </c>
    </row>
    <row r="99" spans="1:10" ht="38.25" x14ac:dyDescent="0.2">
      <c r="A99" s="92"/>
      <c r="B99" s="92"/>
      <c r="C99" s="92"/>
      <c r="D99" s="92"/>
      <c r="E99" s="92" t="s">
        <v>804</v>
      </c>
      <c r="F99" s="93">
        <v>8.3000000000000007</v>
      </c>
      <c r="G99" s="92"/>
      <c r="H99" s="127" t="s">
        <v>805</v>
      </c>
      <c r="I99" s="127"/>
      <c r="J99" s="93">
        <v>37.11</v>
      </c>
    </row>
    <row r="100" spans="1:10" ht="15" thickBot="1" x14ac:dyDescent="0.25">
      <c r="A100" s="77"/>
      <c r="B100" s="77"/>
      <c r="C100" s="77"/>
      <c r="D100" s="77"/>
      <c r="E100" s="77"/>
      <c r="F100" s="77"/>
      <c r="G100" s="77" t="s">
        <v>806</v>
      </c>
      <c r="H100" s="94">
        <v>5.85</v>
      </c>
      <c r="I100" s="77" t="s">
        <v>807</v>
      </c>
      <c r="J100" s="78">
        <v>217.09</v>
      </c>
    </row>
    <row r="101" spans="1:10" ht="15" thickTop="1" x14ac:dyDescent="0.2">
      <c r="A101" s="95"/>
      <c r="B101" s="95"/>
      <c r="C101" s="95"/>
      <c r="D101" s="95"/>
      <c r="E101" s="95"/>
      <c r="F101" s="95"/>
      <c r="G101" s="95"/>
      <c r="H101" s="95"/>
      <c r="I101" s="95"/>
      <c r="J101" s="95"/>
    </row>
    <row r="102" spans="1:10" ht="15" x14ac:dyDescent="0.2">
      <c r="A102" s="75" t="s">
        <v>63</v>
      </c>
      <c r="B102" s="17" t="s">
        <v>11</v>
      </c>
      <c r="C102" s="75" t="s">
        <v>12</v>
      </c>
      <c r="D102" s="75" t="s">
        <v>2</v>
      </c>
      <c r="E102" s="124" t="s">
        <v>779</v>
      </c>
      <c r="F102" s="124"/>
      <c r="G102" s="76" t="s">
        <v>3</v>
      </c>
      <c r="H102" s="17" t="s">
        <v>4</v>
      </c>
      <c r="I102" s="17" t="s">
        <v>13</v>
      </c>
      <c r="J102" s="17" t="s">
        <v>17</v>
      </c>
    </row>
    <row r="103" spans="1:10" ht="25.5" x14ac:dyDescent="0.2">
      <c r="A103" s="19" t="s">
        <v>780</v>
      </c>
      <c r="B103" s="20" t="s">
        <v>64</v>
      </c>
      <c r="C103" s="19" t="s">
        <v>15</v>
      </c>
      <c r="D103" s="19" t="s">
        <v>65</v>
      </c>
      <c r="E103" s="125">
        <v>3.07</v>
      </c>
      <c r="F103" s="125"/>
      <c r="G103" s="21" t="s">
        <v>5</v>
      </c>
      <c r="H103" s="86">
        <v>1</v>
      </c>
      <c r="I103" s="82">
        <v>25.5</v>
      </c>
      <c r="J103" s="82">
        <v>25.5</v>
      </c>
    </row>
    <row r="104" spans="1:10" ht="38.25" x14ac:dyDescent="0.2">
      <c r="A104" s="87" t="s">
        <v>781</v>
      </c>
      <c r="B104" s="88" t="s">
        <v>816</v>
      </c>
      <c r="C104" s="87" t="s">
        <v>15</v>
      </c>
      <c r="D104" s="87" t="s">
        <v>817</v>
      </c>
      <c r="E104" s="126" t="s">
        <v>784</v>
      </c>
      <c r="F104" s="126"/>
      <c r="G104" s="89" t="s">
        <v>785</v>
      </c>
      <c r="H104" s="90">
        <v>0.2</v>
      </c>
      <c r="I104" s="91">
        <v>18.57</v>
      </c>
      <c r="J104" s="91">
        <v>3.71</v>
      </c>
    </row>
    <row r="105" spans="1:10" ht="38.25" x14ac:dyDescent="0.2">
      <c r="A105" s="87" t="s">
        <v>781</v>
      </c>
      <c r="B105" s="88" t="s">
        <v>834</v>
      </c>
      <c r="C105" s="87" t="s">
        <v>15</v>
      </c>
      <c r="D105" s="87" t="s">
        <v>835</v>
      </c>
      <c r="E105" s="126" t="s">
        <v>794</v>
      </c>
      <c r="F105" s="126"/>
      <c r="G105" s="89" t="s">
        <v>785</v>
      </c>
      <c r="H105" s="90">
        <v>0.2</v>
      </c>
      <c r="I105" s="91">
        <v>34.729999999999997</v>
      </c>
      <c r="J105" s="91">
        <v>6.94</v>
      </c>
    </row>
    <row r="106" spans="1:10" ht="38.25" x14ac:dyDescent="0.2">
      <c r="A106" s="87" t="s">
        <v>781</v>
      </c>
      <c r="B106" s="88" t="s">
        <v>836</v>
      </c>
      <c r="C106" s="87" t="s">
        <v>15</v>
      </c>
      <c r="D106" s="87" t="s">
        <v>837</v>
      </c>
      <c r="E106" s="126" t="s">
        <v>794</v>
      </c>
      <c r="F106" s="126"/>
      <c r="G106" s="89" t="s">
        <v>785</v>
      </c>
      <c r="H106" s="90">
        <v>0.1</v>
      </c>
      <c r="I106" s="91">
        <v>148.57</v>
      </c>
      <c r="J106" s="91">
        <v>14.85</v>
      </c>
    </row>
    <row r="107" spans="1:10" ht="38.25" x14ac:dyDescent="0.2">
      <c r="A107" s="92"/>
      <c r="B107" s="92"/>
      <c r="C107" s="92"/>
      <c r="D107" s="92"/>
      <c r="E107" s="92" t="s">
        <v>801</v>
      </c>
      <c r="F107" s="93">
        <v>3.71</v>
      </c>
      <c r="G107" s="92" t="s">
        <v>802</v>
      </c>
      <c r="H107" s="93">
        <v>0</v>
      </c>
      <c r="I107" s="92" t="s">
        <v>803</v>
      </c>
      <c r="J107" s="93">
        <v>3.71</v>
      </c>
    </row>
    <row r="108" spans="1:10" ht="38.25" x14ac:dyDescent="0.2">
      <c r="A108" s="92"/>
      <c r="B108" s="92"/>
      <c r="C108" s="92"/>
      <c r="D108" s="92"/>
      <c r="E108" s="92" t="s">
        <v>804</v>
      </c>
      <c r="F108" s="93">
        <v>7.34</v>
      </c>
      <c r="G108" s="92"/>
      <c r="H108" s="127" t="s">
        <v>805</v>
      </c>
      <c r="I108" s="127"/>
      <c r="J108" s="93">
        <v>32.840000000000003</v>
      </c>
    </row>
    <row r="109" spans="1:10" ht="15" thickBot="1" x14ac:dyDescent="0.25">
      <c r="A109" s="77"/>
      <c r="B109" s="77"/>
      <c r="C109" s="77"/>
      <c r="D109" s="77"/>
      <c r="E109" s="77"/>
      <c r="F109" s="77"/>
      <c r="G109" s="77" t="s">
        <v>806</v>
      </c>
      <c r="H109" s="94">
        <v>193.5</v>
      </c>
      <c r="I109" s="77" t="s">
        <v>807</v>
      </c>
      <c r="J109" s="78">
        <v>6354.54</v>
      </c>
    </row>
    <row r="110" spans="1:10" ht="15" thickTop="1" x14ac:dyDescent="0.2">
      <c r="A110" s="95"/>
      <c r="B110" s="95"/>
      <c r="C110" s="95"/>
      <c r="D110" s="95"/>
      <c r="E110" s="95"/>
      <c r="F110" s="95"/>
      <c r="G110" s="95"/>
      <c r="H110" s="95"/>
      <c r="I110" s="95"/>
      <c r="J110" s="95"/>
    </row>
    <row r="111" spans="1:10" ht="15" x14ac:dyDescent="0.2">
      <c r="A111" s="75" t="s">
        <v>66</v>
      </c>
      <c r="B111" s="17" t="s">
        <v>11</v>
      </c>
      <c r="C111" s="75" t="s">
        <v>12</v>
      </c>
      <c r="D111" s="75" t="s">
        <v>2</v>
      </c>
      <c r="E111" s="124" t="s">
        <v>779</v>
      </c>
      <c r="F111" s="124"/>
      <c r="G111" s="76" t="s">
        <v>3</v>
      </c>
      <c r="H111" s="17" t="s">
        <v>4</v>
      </c>
      <c r="I111" s="17" t="s">
        <v>13</v>
      </c>
      <c r="J111" s="17" t="s">
        <v>17</v>
      </c>
    </row>
    <row r="112" spans="1:10" ht="25.5" x14ac:dyDescent="0.2">
      <c r="A112" s="19" t="s">
        <v>780</v>
      </c>
      <c r="B112" s="20" t="s">
        <v>67</v>
      </c>
      <c r="C112" s="19" t="s">
        <v>15</v>
      </c>
      <c r="D112" s="19" t="s">
        <v>68</v>
      </c>
      <c r="E112" s="125">
        <v>3.01</v>
      </c>
      <c r="F112" s="125"/>
      <c r="G112" s="21" t="s">
        <v>5</v>
      </c>
      <c r="H112" s="86">
        <v>1</v>
      </c>
      <c r="I112" s="82">
        <v>29.21</v>
      </c>
      <c r="J112" s="82">
        <v>29.21</v>
      </c>
    </row>
    <row r="113" spans="1:10" ht="38.25" x14ac:dyDescent="0.2">
      <c r="A113" s="87" t="s">
        <v>781</v>
      </c>
      <c r="B113" s="88" t="s">
        <v>816</v>
      </c>
      <c r="C113" s="87" t="s">
        <v>15</v>
      </c>
      <c r="D113" s="87" t="s">
        <v>817</v>
      </c>
      <c r="E113" s="126" t="s">
        <v>784</v>
      </c>
      <c r="F113" s="126"/>
      <c r="G113" s="89" t="s">
        <v>785</v>
      </c>
      <c r="H113" s="90">
        <v>0.4</v>
      </c>
      <c r="I113" s="91">
        <v>18.57</v>
      </c>
      <c r="J113" s="91">
        <v>7.42</v>
      </c>
    </row>
    <row r="114" spans="1:10" ht="38.25" x14ac:dyDescent="0.2">
      <c r="A114" s="87" t="s">
        <v>781</v>
      </c>
      <c r="B114" s="88" t="s">
        <v>834</v>
      </c>
      <c r="C114" s="87" t="s">
        <v>15</v>
      </c>
      <c r="D114" s="87" t="s">
        <v>835</v>
      </c>
      <c r="E114" s="126" t="s">
        <v>794</v>
      </c>
      <c r="F114" s="126"/>
      <c r="G114" s="89" t="s">
        <v>785</v>
      </c>
      <c r="H114" s="90">
        <v>0.2</v>
      </c>
      <c r="I114" s="91">
        <v>34.729999999999997</v>
      </c>
      <c r="J114" s="91">
        <v>6.94</v>
      </c>
    </row>
    <row r="115" spans="1:10" ht="38.25" x14ac:dyDescent="0.2">
      <c r="A115" s="87" t="s">
        <v>781</v>
      </c>
      <c r="B115" s="88" t="s">
        <v>836</v>
      </c>
      <c r="C115" s="87" t="s">
        <v>15</v>
      </c>
      <c r="D115" s="87" t="s">
        <v>837</v>
      </c>
      <c r="E115" s="126" t="s">
        <v>794</v>
      </c>
      <c r="F115" s="126"/>
      <c r="G115" s="89" t="s">
        <v>785</v>
      </c>
      <c r="H115" s="90">
        <v>0.1</v>
      </c>
      <c r="I115" s="91">
        <v>148.57</v>
      </c>
      <c r="J115" s="91">
        <v>14.85</v>
      </c>
    </row>
    <row r="116" spans="1:10" ht="38.25" x14ac:dyDescent="0.2">
      <c r="A116" s="92"/>
      <c r="B116" s="92"/>
      <c r="C116" s="92"/>
      <c r="D116" s="92"/>
      <c r="E116" s="92" t="s">
        <v>801</v>
      </c>
      <c r="F116" s="93">
        <v>7.42</v>
      </c>
      <c r="G116" s="92" t="s">
        <v>802</v>
      </c>
      <c r="H116" s="93">
        <v>0</v>
      </c>
      <c r="I116" s="92" t="s">
        <v>803</v>
      </c>
      <c r="J116" s="93">
        <v>7.42</v>
      </c>
    </row>
    <row r="117" spans="1:10" ht="38.25" x14ac:dyDescent="0.2">
      <c r="A117" s="92"/>
      <c r="B117" s="92"/>
      <c r="C117" s="92"/>
      <c r="D117" s="92"/>
      <c r="E117" s="92" t="s">
        <v>804</v>
      </c>
      <c r="F117" s="93">
        <v>8.41</v>
      </c>
      <c r="G117" s="92"/>
      <c r="H117" s="127" t="s">
        <v>805</v>
      </c>
      <c r="I117" s="127"/>
      <c r="J117" s="93">
        <v>37.619999999999997</v>
      </c>
    </row>
    <row r="118" spans="1:10" ht="15" thickBot="1" x14ac:dyDescent="0.25">
      <c r="A118" s="77"/>
      <c r="B118" s="77"/>
      <c r="C118" s="77"/>
      <c r="D118" s="77"/>
      <c r="E118" s="77"/>
      <c r="F118" s="77"/>
      <c r="G118" s="77" t="s">
        <v>806</v>
      </c>
      <c r="H118" s="94">
        <v>298.5</v>
      </c>
      <c r="I118" s="77" t="s">
        <v>807</v>
      </c>
      <c r="J118" s="78">
        <v>11229.57</v>
      </c>
    </row>
    <row r="119" spans="1:10" ht="15" thickTop="1" x14ac:dyDescent="0.2">
      <c r="A119" s="95"/>
      <c r="B119" s="95"/>
      <c r="C119" s="95"/>
      <c r="D119" s="95"/>
      <c r="E119" s="95"/>
      <c r="F119" s="95"/>
      <c r="G119" s="95"/>
      <c r="H119" s="95"/>
      <c r="I119" s="95"/>
      <c r="J119" s="95"/>
    </row>
    <row r="120" spans="1:10" ht="15" x14ac:dyDescent="0.2">
      <c r="A120" s="75" t="s">
        <v>69</v>
      </c>
      <c r="B120" s="17" t="s">
        <v>11</v>
      </c>
      <c r="C120" s="75" t="s">
        <v>12</v>
      </c>
      <c r="D120" s="75" t="s">
        <v>2</v>
      </c>
      <c r="E120" s="124" t="s">
        <v>779</v>
      </c>
      <c r="F120" s="124"/>
      <c r="G120" s="76" t="s">
        <v>3</v>
      </c>
      <c r="H120" s="17" t="s">
        <v>4</v>
      </c>
      <c r="I120" s="17" t="s">
        <v>13</v>
      </c>
      <c r="J120" s="17" t="s">
        <v>17</v>
      </c>
    </row>
    <row r="121" spans="1:10" ht="25.5" x14ac:dyDescent="0.2">
      <c r="A121" s="19" t="s">
        <v>780</v>
      </c>
      <c r="B121" s="20" t="s">
        <v>70</v>
      </c>
      <c r="C121" s="19" t="s">
        <v>15</v>
      </c>
      <c r="D121" s="19" t="s">
        <v>71</v>
      </c>
      <c r="E121" s="125">
        <v>4.09</v>
      </c>
      <c r="F121" s="125"/>
      <c r="G121" s="21" t="s">
        <v>32</v>
      </c>
      <c r="H121" s="86">
        <v>1</v>
      </c>
      <c r="I121" s="82">
        <v>24.14</v>
      </c>
      <c r="J121" s="82">
        <v>24.14</v>
      </c>
    </row>
    <row r="122" spans="1:10" ht="38.25" x14ac:dyDescent="0.2">
      <c r="A122" s="87" t="s">
        <v>781</v>
      </c>
      <c r="B122" s="88" t="s">
        <v>816</v>
      </c>
      <c r="C122" s="87" t="s">
        <v>15</v>
      </c>
      <c r="D122" s="87" t="s">
        <v>817</v>
      </c>
      <c r="E122" s="126" t="s">
        <v>784</v>
      </c>
      <c r="F122" s="126"/>
      <c r="G122" s="89" t="s">
        <v>785</v>
      </c>
      <c r="H122" s="90">
        <v>1.3</v>
      </c>
      <c r="I122" s="91">
        <v>18.57</v>
      </c>
      <c r="J122" s="91">
        <v>24.14</v>
      </c>
    </row>
    <row r="123" spans="1:10" ht="38.25" x14ac:dyDescent="0.2">
      <c r="A123" s="92"/>
      <c r="B123" s="92"/>
      <c r="C123" s="92"/>
      <c r="D123" s="92"/>
      <c r="E123" s="92" t="s">
        <v>801</v>
      </c>
      <c r="F123" s="93">
        <v>24.14</v>
      </c>
      <c r="G123" s="92" t="s">
        <v>802</v>
      </c>
      <c r="H123" s="93">
        <v>0</v>
      </c>
      <c r="I123" s="92" t="s">
        <v>803</v>
      </c>
      <c r="J123" s="93">
        <v>24.14</v>
      </c>
    </row>
    <row r="124" spans="1:10" ht="38.25" x14ac:dyDescent="0.2">
      <c r="A124" s="92"/>
      <c r="B124" s="92"/>
      <c r="C124" s="92"/>
      <c r="D124" s="92"/>
      <c r="E124" s="92" t="s">
        <v>804</v>
      </c>
      <c r="F124" s="93">
        <v>6.95</v>
      </c>
      <c r="G124" s="92"/>
      <c r="H124" s="127" t="s">
        <v>805</v>
      </c>
      <c r="I124" s="127"/>
      <c r="J124" s="93">
        <v>31.09</v>
      </c>
    </row>
    <row r="125" spans="1:10" ht="15" thickBot="1" x14ac:dyDescent="0.25">
      <c r="A125" s="77"/>
      <c r="B125" s="77"/>
      <c r="C125" s="77"/>
      <c r="D125" s="77"/>
      <c r="E125" s="77"/>
      <c r="F125" s="77"/>
      <c r="G125" s="77" t="s">
        <v>806</v>
      </c>
      <c r="H125" s="94">
        <v>121.93</v>
      </c>
      <c r="I125" s="77" t="s">
        <v>807</v>
      </c>
      <c r="J125" s="78">
        <v>3790.8</v>
      </c>
    </row>
    <row r="126" spans="1:10" ht="15" thickTop="1" x14ac:dyDescent="0.2">
      <c r="A126" s="95"/>
      <c r="B126" s="95"/>
      <c r="C126" s="95"/>
      <c r="D126" s="95"/>
      <c r="E126" s="95"/>
      <c r="F126" s="95"/>
      <c r="G126" s="95"/>
      <c r="H126" s="95"/>
      <c r="I126" s="95"/>
      <c r="J126" s="95"/>
    </row>
    <row r="127" spans="1:10" ht="15" x14ac:dyDescent="0.2">
      <c r="A127" s="75" t="s">
        <v>72</v>
      </c>
      <c r="B127" s="17" t="s">
        <v>11</v>
      </c>
      <c r="C127" s="75" t="s">
        <v>12</v>
      </c>
      <c r="D127" s="75" t="s">
        <v>2</v>
      </c>
      <c r="E127" s="124" t="s">
        <v>779</v>
      </c>
      <c r="F127" s="124"/>
      <c r="G127" s="76" t="s">
        <v>3</v>
      </c>
      <c r="H127" s="17" t="s">
        <v>4</v>
      </c>
      <c r="I127" s="17" t="s">
        <v>13</v>
      </c>
      <c r="J127" s="17" t="s">
        <v>17</v>
      </c>
    </row>
    <row r="128" spans="1:10" ht="25.5" x14ac:dyDescent="0.2">
      <c r="A128" s="19" t="s">
        <v>780</v>
      </c>
      <c r="B128" s="20" t="s">
        <v>73</v>
      </c>
      <c r="C128" s="19" t="s">
        <v>15</v>
      </c>
      <c r="D128" s="19" t="s">
        <v>74</v>
      </c>
      <c r="E128" s="125">
        <v>4.09</v>
      </c>
      <c r="F128" s="125"/>
      <c r="G128" s="21" t="s">
        <v>5</v>
      </c>
      <c r="H128" s="86">
        <v>1</v>
      </c>
      <c r="I128" s="82">
        <v>3.91</v>
      </c>
      <c r="J128" s="82">
        <v>3.91</v>
      </c>
    </row>
    <row r="129" spans="1:10" ht="38.25" x14ac:dyDescent="0.2">
      <c r="A129" s="87" t="s">
        <v>781</v>
      </c>
      <c r="B129" s="88" t="s">
        <v>832</v>
      </c>
      <c r="C129" s="87" t="s">
        <v>15</v>
      </c>
      <c r="D129" s="87" t="s">
        <v>833</v>
      </c>
      <c r="E129" s="126" t="s">
        <v>784</v>
      </c>
      <c r="F129" s="126"/>
      <c r="G129" s="89" t="s">
        <v>785</v>
      </c>
      <c r="H129" s="90">
        <v>0.05</v>
      </c>
      <c r="I129" s="91">
        <v>22.61</v>
      </c>
      <c r="J129" s="91">
        <v>1.1299999999999999</v>
      </c>
    </row>
    <row r="130" spans="1:10" ht="38.25" x14ac:dyDescent="0.2">
      <c r="A130" s="87" t="s">
        <v>781</v>
      </c>
      <c r="B130" s="88" t="s">
        <v>816</v>
      </c>
      <c r="C130" s="87" t="s">
        <v>15</v>
      </c>
      <c r="D130" s="87" t="s">
        <v>817</v>
      </c>
      <c r="E130" s="126" t="s">
        <v>784</v>
      </c>
      <c r="F130" s="126"/>
      <c r="G130" s="89" t="s">
        <v>785</v>
      </c>
      <c r="H130" s="90">
        <v>0.15</v>
      </c>
      <c r="I130" s="91">
        <v>18.57</v>
      </c>
      <c r="J130" s="91">
        <v>2.78</v>
      </c>
    </row>
    <row r="131" spans="1:10" ht="38.25" x14ac:dyDescent="0.2">
      <c r="A131" s="92"/>
      <c r="B131" s="92"/>
      <c r="C131" s="92"/>
      <c r="D131" s="92"/>
      <c r="E131" s="92" t="s">
        <v>801</v>
      </c>
      <c r="F131" s="93">
        <v>3.91</v>
      </c>
      <c r="G131" s="92" t="s">
        <v>802</v>
      </c>
      <c r="H131" s="93">
        <v>0</v>
      </c>
      <c r="I131" s="92" t="s">
        <v>803</v>
      </c>
      <c r="J131" s="93">
        <v>3.91</v>
      </c>
    </row>
    <row r="132" spans="1:10" ht="38.25" x14ac:dyDescent="0.2">
      <c r="A132" s="92"/>
      <c r="B132" s="92"/>
      <c r="C132" s="92"/>
      <c r="D132" s="92"/>
      <c r="E132" s="92" t="s">
        <v>804</v>
      </c>
      <c r="F132" s="93">
        <v>1.1200000000000001</v>
      </c>
      <c r="G132" s="92"/>
      <c r="H132" s="127" t="s">
        <v>805</v>
      </c>
      <c r="I132" s="127"/>
      <c r="J132" s="93">
        <v>5.03</v>
      </c>
    </row>
    <row r="133" spans="1:10" ht="15" thickBot="1" x14ac:dyDescent="0.25">
      <c r="A133" s="77"/>
      <c r="B133" s="77"/>
      <c r="C133" s="77"/>
      <c r="D133" s="77"/>
      <c r="E133" s="77"/>
      <c r="F133" s="77"/>
      <c r="G133" s="77" t="s">
        <v>806</v>
      </c>
      <c r="H133" s="94">
        <v>157.30000000000001</v>
      </c>
      <c r="I133" s="77" t="s">
        <v>807</v>
      </c>
      <c r="J133" s="78">
        <v>791.21</v>
      </c>
    </row>
    <row r="134" spans="1:10" ht="15" thickTop="1" x14ac:dyDescent="0.2">
      <c r="A134" s="95"/>
      <c r="B134" s="95"/>
      <c r="C134" s="95"/>
      <c r="D134" s="95"/>
      <c r="E134" s="95"/>
      <c r="F134" s="95"/>
      <c r="G134" s="95"/>
      <c r="H134" s="95"/>
      <c r="I134" s="95"/>
      <c r="J134" s="95"/>
    </row>
    <row r="135" spans="1:10" ht="15" x14ac:dyDescent="0.2">
      <c r="A135" s="75" t="s">
        <v>75</v>
      </c>
      <c r="B135" s="17" t="s">
        <v>11</v>
      </c>
      <c r="C135" s="75" t="s">
        <v>12</v>
      </c>
      <c r="D135" s="75" t="s">
        <v>2</v>
      </c>
      <c r="E135" s="124" t="s">
        <v>779</v>
      </c>
      <c r="F135" s="124"/>
      <c r="G135" s="76" t="s">
        <v>3</v>
      </c>
      <c r="H135" s="17" t="s">
        <v>4</v>
      </c>
      <c r="I135" s="17" t="s">
        <v>13</v>
      </c>
      <c r="J135" s="17" t="s">
        <v>17</v>
      </c>
    </row>
    <row r="136" spans="1:10" ht="25.5" x14ac:dyDescent="0.2">
      <c r="A136" s="19" t="s">
        <v>780</v>
      </c>
      <c r="B136" s="20" t="s">
        <v>76</v>
      </c>
      <c r="C136" s="19" t="s">
        <v>15</v>
      </c>
      <c r="D136" s="19" t="s">
        <v>77</v>
      </c>
      <c r="E136" s="125">
        <v>4.4000000000000004</v>
      </c>
      <c r="F136" s="125"/>
      <c r="G136" s="21" t="s">
        <v>78</v>
      </c>
      <c r="H136" s="86">
        <v>1</v>
      </c>
      <c r="I136" s="82">
        <v>7.42</v>
      </c>
      <c r="J136" s="82">
        <v>7.42</v>
      </c>
    </row>
    <row r="137" spans="1:10" ht="38.25" x14ac:dyDescent="0.2">
      <c r="A137" s="87" t="s">
        <v>781</v>
      </c>
      <c r="B137" s="88" t="s">
        <v>816</v>
      </c>
      <c r="C137" s="87" t="s">
        <v>15</v>
      </c>
      <c r="D137" s="87" t="s">
        <v>817</v>
      </c>
      <c r="E137" s="126" t="s">
        <v>784</v>
      </c>
      <c r="F137" s="126"/>
      <c r="G137" s="89" t="s">
        <v>785</v>
      </c>
      <c r="H137" s="90">
        <v>0.4</v>
      </c>
      <c r="I137" s="91">
        <v>18.57</v>
      </c>
      <c r="J137" s="91">
        <v>7.42</v>
      </c>
    </row>
    <row r="138" spans="1:10" ht="38.25" x14ac:dyDescent="0.2">
      <c r="A138" s="92"/>
      <c r="B138" s="92"/>
      <c r="C138" s="92"/>
      <c r="D138" s="92"/>
      <c r="E138" s="92" t="s">
        <v>801</v>
      </c>
      <c r="F138" s="93">
        <v>7.42</v>
      </c>
      <c r="G138" s="92" t="s">
        <v>802</v>
      </c>
      <c r="H138" s="93">
        <v>0</v>
      </c>
      <c r="I138" s="92" t="s">
        <v>803</v>
      </c>
      <c r="J138" s="93">
        <v>7.42</v>
      </c>
    </row>
    <row r="139" spans="1:10" ht="38.25" x14ac:dyDescent="0.2">
      <c r="A139" s="92"/>
      <c r="B139" s="92"/>
      <c r="C139" s="92"/>
      <c r="D139" s="92"/>
      <c r="E139" s="92" t="s">
        <v>804</v>
      </c>
      <c r="F139" s="93">
        <v>2.13</v>
      </c>
      <c r="G139" s="92"/>
      <c r="H139" s="127" t="s">
        <v>805</v>
      </c>
      <c r="I139" s="127"/>
      <c r="J139" s="93">
        <v>9.5500000000000007</v>
      </c>
    </row>
    <row r="140" spans="1:10" ht="15" thickBot="1" x14ac:dyDescent="0.25">
      <c r="A140" s="77"/>
      <c r="B140" s="77"/>
      <c r="C140" s="77"/>
      <c r="D140" s="77"/>
      <c r="E140" s="77"/>
      <c r="F140" s="77"/>
      <c r="G140" s="77" t="s">
        <v>806</v>
      </c>
      <c r="H140" s="94">
        <v>176</v>
      </c>
      <c r="I140" s="77" t="s">
        <v>807</v>
      </c>
      <c r="J140" s="78">
        <v>1680.8</v>
      </c>
    </row>
    <row r="141" spans="1:10" ht="15" thickTop="1" x14ac:dyDescent="0.2">
      <c r="A141" s="95"/>
      <c r="B141" s="95"/>
      <c r="C141" s="95"/>
      <c r="D141" s="95"/>
      <c r="E141" s="95"/>
      <c r="F141" s="95"/>
      <c r="G141" s="95"/>
      <c r="H141" s="95"/>
      <c r="I141" s="95"/>
      <c r="J141" s="95"/>
    </row>
    <row r="142" spans="1:10" ht="15" x14ac:dyDescent="0.2">
      <c r="A142" s="75" t="s">
        <v>79</v>
      </c>
      <c r="B142" s="17" t="s">
        <v>11</v>
      </c>
      <c r="C142" s="75" t="s">
        <v>12</v>
      </c>
      <c r="D142" s="75" t="s">
        <v>2</v>
      </c>
      <c r="E142" s="124" t="s">
        <v>779</v>
      </c>
      <c r="F142" s="124"/>
      <c r="G142" s="76" t="s">
        <v>3</v>
      </c>
      <c r="H142" s="17" t="s">
        <v>4</v>
      </c>
      <c r="I142" s="17" t="s">
        <v>13</v>
      </c>
      <c r="J142" s="17" t="s">
        <v>17</v>
      </c>
    </row>
    <row r="143" spans="1:10" ht="25.5" x14ac:dyDescent="0.2">
      <c r="A143" s="19" t="s">
        <v>780</v>
      </c>
      <c r="B143" s="20" t="s">
        <v>80</v>
      </c>
      <c r="C143" s="19" t="s">
        <v>15</v>
      </c>
      <c r="D143" s="19" t="s">
        <v>81</v>
      </c>
      <c r="E143" s="125">
        <v>34.130000000000003</v>
      </c>
      <c r="F143" s="125"/>
      <c r="G143" s="21" t="s">
        <v>32</v>
      </c>
      <c r="H143" s="86">
        <v>1</v>
      </c>
      <c r="I143" s="82">
        <v>3799.61</v>
      </c>
      <c r="J143" s="82">
        <v>3799.61</v>
      </c>
    </row>
    <row r="144" spans="1:10" ht="38.25" x14ac:dyDescent="0.2">
      <c r="A144" s="87" t="s">
        <v>781</v>
      </c>
      <c r="B144" s="88" t="s">
        <v>808</v>
      </c>
      <c r="C144" s="87" t="s">
        <v>15</v>
      </c>
      <c r="D144" s="87" t="s">
        <v>809</v>
      </c>
      <c r="E144" s="126" t="s">
        <v>784</v>
      </c>
      <c r="F144" s="126"/>
      <c r="G144" s="89" t="s">
        <v>785</v>
      </c>
      <c r="H144" s="90">
        <v>32</v>
      </c>
      <c r="I144" s="91">
        <v>18.57</v>
      </c>
      <c r="J144" s="91">
        <v>594.24</v>
      </c>
    </row>
    <row r="145" spans="1:10" ht="38.25" x14ac:dyDescent="0.2">
      <c r="A145" s="87" t="s">
        <v>781</v>
      </c>
      <c r="B145" s="88" t="s">
        <v>838</v>
      </c>
      <c r="C145" s="87" t="s">
        <v>15</v>
      </c>
      <c r="D145" s="87" t="s">
        <v>839</v>
      </c>
      <c r="E145" s="126" t="s">
        <v>784</v>
      </c>
      <c r="F145" s="126"/>
      <c r="G145" s="89" t="s">
        <v>785</v>
      </c>
      <c r="H145" s="90">
        <v>8</v>
      </c>
      <c r="I145" s="91">
        <v>35.090000000000003</v>
      </c>
      <c r="J145" s="91">
        <v>280.72000000000003</v>
      </c>
    </row>
    <row r="146" spans="1:10" ht="51" x14ac:dyDescent="0.2">
      <c r="A146" s="87" t="s">
        <v>781</v>
      </c>
      <c r="B146" s="88" t="s">
        <v>840</v>
      </c>
      <c r="C146" s="87" t="s">
        <v>15</v>
      </c>
      <c r="D146" s="87" t="s">
        <v>841</v>
      </c>
      <c r="E146" s="126" t="s">
        <v>794</v>
      </c>
      <c r="F146" s="126"/>
      <c r="G146" s="89" t="s">
        <v>785</v>
      </c>
      <c r="H146" s="90">
        <v>3</v>
      </c>
      <c r="I146" s="91">
        <v>158.35</v>
      </c>
      <c r="J146" s="91">
        <v>475.05</v>
      </c>
    </row>
    <row r="147" spans="1:10" ht="38.25" x14ac:dyDescent="0.2">
      <c r="A147" s="87" t="s">
        <v>781</v>
      </c>
      <c r="B147" s="88" t="s">
        <v>842</v>
      </c>
      <c r="C147" s="87" t="s">
        <v>15</v>
      </c>
      <c r="D147" s="87" t="s">
        <v>843</v>
      </c>
      <c r="E147" s="126" t="s">
        <v>794</v>
      </c>
      <c r="F147" s="126"/>
      <c r="G147" s="89" t="s">
        <v>785</v>
      </c>
      <c r="H147" s="90">
        <v>8</v>
      </c>
      <c r="I147" s="91">
        <v>3.73</v>
      </c>
      <c r="J147" s="91">
        <v>29.84</v>
      </c>
    </row>
    <row r="148" spans="1:10" ht="38.25" x14ac:dyDescent="0.2">
      <c r="A148" s="87" t="s">
        <v>781</v>
      </c>
      <c r="B148" s="88" t="s">
        <v>844</v>
      </c>
      <c r="C148" s="87" t="s">
        <v>15</v>
      </c>
      <c r="D148" s="87" t="s">
        <v>845</v>
      </c>
      <c r="E148" s="126" t="s">
        <v>794</v>
      </c>
      <c r="F148" s="126"/>
      <c r="G148" s="89" t="s">
        <v>785</v>
      </c>
      <c r="H148" s="90">
        <v>8</v>
      </c>
      <c r="I148" s="91">
        <v>302.47000000000003</v>
      </c>
      <c r="J148" s="91">
        <v>2419.7600000000002</v>
      </c>
    </row>
    <row r="149" spans="1:10" ht="38.25" x14ac:dyDescent="0.2">
      <c r="A149" s="92"/>
      <c r="B149" s="92"/>
      <c r="C149" s="92"/>
      <c r="D149" s="92"/>
      <c r="E149" s="92" t="s">
        <v>801</v>
      </c>
      <c r="F149" s="93">
        <v>874.96</v>
      </c>
      <c r="G149" s="92" t="s">
        <v>802</v>
      </c>
      <c r="H149" s="93">
        <v>0</v>
      </c>
      <c r="I149" s="92" t="s">
        <v>803</v>
      </c>
      <c r="J149" s="93">
        <v>874.96</v>
      </c>
    </row>
    <row r="150" spans="1:10" ht="38.25" x14ac:dyDescent="0.2">
      <c r="A150" s="92"/>
      <c r="B150" s="92"/>
      <c r="C150" s="92"/>
      <c r="D150" s="92"/>
      <c r="E150" s="92" t="s">
        <v>804</v>
      </c>
      <c r="F150" s="93">
        <v>1095.04</v>
      </c>
      <c r="G150" s="92"/>
      <c r="H150" s="127" t="s">
        <v>805</v>
      </c>
      <c r="I150" s="127"/>
      <c r="J150" s="93">
        <v>4894.6499999999996</v>
      </c>
    </row>
    <row r="151" spans="1:10" ht="15" thickBot="1" x14ac:dyDescent="0.25">
      <c r="A151" s="77"/>
      <c r="B151" s="77"/>
      <c r="C151" s="77"/>
      <c r="D151" s="77"/>
      <c r="E151" s="77"/>
      <c r="F151" s="77"/>
      <c r="G151" s="77" t="s">
        <v>806</v>
      </c>
      <c r="H151" s="94">
        <v>1</v>
      </c>
      <c r="I151" s="77" t="s">
        <v>807</v>
      </c>
      <c r="J151" s="78">
        <v>4894.6499999999996</v>
      </c>
    </row>
    <row r="152" spans="1:10" ht="15" thickTop="1" x14ac:dyDescent="0.2">
      <c r="A152" s="95"/>
      <c r="B152" s="95"/>
      <c r="C152" s="95"/>
      <c r="D152" s="95"/>
      <c r="E152" s="95"/>
      <c r="F152" s="95"/>
      <c r="G152" s="95"/>
      <c r="H152" s="95"/>
      <c r="I152" s="95"/>
      <c r="J152" s="95"/>
    </row>
    <row r="153" spans="1:10" ht="15" x14ac:dyDescent="0.2">
      <c r="A153" s="75" t="s">
        <v>82</v>
      </c>
      <c r="B153" s="17" t="s">
        <v>11</v>
      </c>
      <c r="C153" s="75" t="s">
        <v>12</v>
      </c>
      <c r="D153" s="75" t="s">
        <v>2</v>
      </c>
      <c r="E153" s="124" t="s">
        <v>779</v>
      </c>
      <c r="F153" s="124"/>
      <c r="G153" s="76" t="s">
        <v>3</v>
      </c>
      <c r="H153" s="17" t="s">
        <v>4</v>
      </c>
      <c r="I153" s="17" t="s">
        <v>13</v>
      </c>
      <c r="J153" s="17" t="s">
        <v>17</v>
      </c>
    </row>
    <row r="154" spans="1:10" ht="25.5" x14ac:dyDescent="0.2">
      <c r="A154" s="19" t="s">
        <v>780</v>
      </c>
      <c r="B154" s="20" t="s">
        <v>83</v>
      </c>
      <c r="C154" s="19" t="s">
        <v>15</v>
      </c>
      <c r="D154" s="19" t="s">
        <v>84</v>
      </c>
      <c r="E154" s="125">
        <v>5.07</v>
      </c>
      <c r="F154" s="125"/>
      <c r="G154" s="21" t="s">
        <v>50</v>
      </c>
      <c r="H154" s="86">
        <v>1</v>
      </c>
      <c r="I154" s="82">
        <v>125.5</v>
      </c>
      <c r="J154" s="82">
        <v>125.5</v>
      </c>
    </row>
    <row r="155" spans="1:10" ht="38.25" x14ac:dyDescent="0.2">
      <c r="A155" s="87" t="s">
        <v>781</v>
      </c>
      <c r="B155" s="88" t="s">
        <v>846</v>
      </c>
      <c r="C155" s="87" t="s">
        <v>15</v>
      </c>
      <c r="D155" s="87" t="s">
        <v>847</v>
      </c>
      <c r="E155" s="126" t="s">
        <v>794</v>
      </c>
      <c r="F155" s="126"/>
      <c r="G155" s="89" t="s">
        <v>50</v>
      </c>
      <c r="H155" s="90">
        <v>1</v>
      </c>
      <c r="I155" s="91">
        <v>114.36</v>
      </c>
      <c r="J155" s="91">
        <v>114.36</v>
      </c>
    </row>
    <row r="156" spans="1:10" ht="38.25" x14ac:dyDescent="0.2">
      <c r="A156" s="87" t="s">
        <v>781</v>
      </c>
      <c r="B156" s="88" t="s">
        <v>816</v>
      </c>
      <c r="C156" s="87" t="s">
        <v>15</v>
      </c>
      <c r="D156" s="87" t="s">
        <v>817</v>
      </c>
      <c r="E156" s="126" t="s">
        <v>784</v>
      </c>
      <c r="F156" s="126"/>
      <c r="G156" s="89" t="s">
        <v>785</v>
      </c>
      <c r="H156" s="90">
        <v>0.6</v>
      </c>
      <c r="I156" s="91">
        <v>18.57</v>
      </c>
      <c r="J156" s="91">
        <v>11.14</v>
      </c>
    </row>
    <row r="157" spans="1:10" ht="38.25" x14ac:dyDescent="0.2">
      <c r="A157" s="92"/>
      <c r="B157" s="92"/>
      <c r="C157" s="92"/>
      <c r="D157" s="92"/>
      <c r="E157" s="92" t="s">
        <v>801</v>
      </c>
      <c r="F157" s="93">
        <v>11.14</v>
      </c>
      <c r="G157" s="92" t="s">
        <v>802</v>
      </c>
      <c r="H157" s="93">
        <v>0</v>
      </c>
      <c r="I157" s="92" t="s">
        <v>803</v>
      </c>
      <c r="J157" s="93">
        <v>11.14</v>
      </c>
    </row>
    <row r="158" spans="1:10" ht="38.25" x14ac:dyDescent="0.2">
      <c r="A158" s="92"/>
      <c r="B158" s="92"/>
      <c r="C158" s="92"/>
      <c r="D158" s="92"/>
      <c r="E158" s="92" t="s">
        <v>804</v>
      </c>
      <c r="F158" s="93">
        <v>36.159999999999997</v>
      </c>
      <c r="G158" s="92"/>
      <c r="H158" s="127" t="s">
        <v>805</v>
      </c>
      <c r="I158" s="127"/>
      <c r="J158" s="93">
        <v>161.66</v>
      </c>
    </row>
    <row r="159" spans="1:10" ht="15" thickBot="1" x14ac:dyDescent="0.25">
      <c r="A159" s="77"/>
      <c r="B159" s="77"/>
      <c r="C159" s="77"/>
      <c r="D159" s="77"/>
      <c r="E159" s="77"/>
      <c r="F159" s="77"/>
      <c r="G159" s="77" t="s">
        <v>806</v>
      </c>
      <c r="H159" s="94">
        <v>121.88</v>
      </c>
      <c r="I159" s="77" t="s">
        <v>807</v>
      </c>
      <c r="J159" s="78">
        <v>19703.12</v>
      </c>
    </row>
    <row r="160" spans="1:10" ht="15" thickTop="1" x14ac:dyDescent="0.2">
      <c r="A160" s="95"/>
      <c r="B160" s="95"/>
      <c r="C160" s="95"/>
      <c r="D160" s="95"/>
      <c r="E160" s="95"/>
      <c r="F160" s="95"/>
      <c r="G160" s="95"/>
      <c r="H160" s="95"/>
      <c r="I160" s="95"/>
      <c r="J160" s="95"/>
    </row>
    <row r="161" spans="1:10" x14ac:dyDescent="0.2">
      <c r="A161" s="18" t="s">
        <v>85</v>
      </c>
      <c r="B161" s="18"/>
      <c r="C161" s="18"/>
      <c r="D161" s="18" t="s">
        <v>86</v>
      </c>
      <c r="E161" s="18"/>
      <c r="F161" s="122"/>
      <c r="G161" s="122"/>
      <c r="H161" s="39"/>
      <c r="I161" s="18"/>
      <c r="J161" s="80">
        <v>24643.69</v>
      </c>
    </row>
    <row r="162" spans="1:10" ht="15" x14ac:dyDescent="0.2">
      <c r="A162" s="75" t="s">
        <v>87</v>
      </c>
      <c r="B162" s="17" t="s">
        <v>11</v>
      </c>
      <c r="C162" s="75" t="s">
        <v>12</v>
      </c>
      <c r="D162" s="75" t="s">
        <v>2</v>
      </c>
      <c r="E162" s="124" t="s">
        <v>779</v>
      </c>
      <c r="F162" s="124"/>
      <c r="G162" s="76" t="s">
        <v>3</v>
      </c>
      <c r="H162" s="17" t="s">
        <v>4</v>
      </c>
      <c r="I162" s="17" t="s">
        <v>13</v>
      </c>
      <c r="J162" s="17" t="s">
        <v>17</v>
      </c>
    </row>
    <row r="163" spans="1:10" ht="25.5" x14ac:dyDescent="0.2">
      <c r="A163" s="19" t="s">
        <v>780</v>
      </c>
      <c r="B163" s="20" t="s">
        <v>88</v>
      </c>
      <c r="C163" s="19" t="s">
        <v>15</v>
      </c>
      <c r="D163" s="19" t="s">
        <v>89</v>
      </c>
      <c r="E163" s="125">
        <v>2.09</v>
      </c>
      <c r="F163" s="125"/>
      <c r="G163" s="21" t="s">
        <v>5</v>
      </c>
      <c r="H163" s="86">
        <v>1</v>
      </c>
      <c r="I163" s="82">
        <v>5.84</v>
      </c>
      <c r="J163" s="82">
        <v>5.84</v>
      </c>
    </row>
    <row r="164" spans="1:10" ht="38.25" x14ac:dyDescent="0.2">
      <c r="A164" s="87" t="s">
        <v>781</v>
      </c>
      <c r="B164" s="88" t="s">
        <v>816</v>
      </c>
      <c r="C164" s="87" t="s">
        <v>15</v>
      </c>
      <c r="D164" s="87" t="s">
        <v>817</v>
      </c>
      <c r="E164" s="126" t="s">
        <v>784</v>
      </c>
      <c r="F164" s="126"/>
      <c r="G164" s="89" t="s">
        <v>785</v>
      </c>
      <c r="H164" s="90">
        <v>8.0000000000000002E-3</v>
      </c>
      <c r="I164" s="91">
        <v>18.57</v>
      </c>
      <c r="J164" s="91">
        <v>0.14000000000000001</v>
      </c>
    </row>
    <row r="165" spans="1:10" ht="38.25" x14ac:dyDescent="0.2">
      <c r="A165" s="87" t="s">
        <v>781</v>
      </c>
      <c r="B165" s="88" t="s">
        <v>848</v>
      </c>
      <c r="C165" s="87" t="s">
        <v>15</v>
      </c>
      <c r="D165" s="87" t="s">
        <v>849</v>
      </c>
      <c r="E165" s="126" t="s">
        <v>794</v>
      </c>
      <c r="F165" s="126"/>
      <c r="G165" s="89" t="s">
        <v>785</v>
      </c>
      <c r="H165" s="90">
        <v>8.0000000000000002E-3</v>
      </c>
      <c r="I165" s="91">
        <v>206.83</v>
      </c>
      <c r="J165" s="91">
        <v>1.65</v>
      </c>
    </row>
    <row r="166" spans="1:10" ht="38.25" x14ac:dyDescent="0.2">
      <c r="A166" s="87" t="s">
        <v>781</v>
      </c>
      <c r="B166" s="88" t="s">
        <v>850</v>
      </c>
      <c r="C166" s="87" t="s">
        <v>15</v>
      </c>
      <c r="D166" s="87" t="s">
        <v>851</v>
      </c>
      <c r="E166" s="126" t="s">
        <v>794</v>
      </c>
      <c r="F166" s="126"/>
      <c r="G166" s="89" t="s">
        <v>785</v>
      </c>
      <c r="H166" s="90">
        <v>4.0000000000000001E-3</v>
      </c>
      <c r="I166" s="91">
        <v>720.54</v>
      </c>
      <c r="J166" s="91">
        <v>2.88</v>
      </c>
    </row>
    <row r="167" spans="1:10" ht="38.25" x14ac:dyDescent="0.2">
      <c r="A167" s="87" t="s">
        <v>781</v>
      </c>
      <c r="B167" s="88" t="s">
        <v>852</v>
      </c>
      <c r="C167" s="87" t="s">
        <v>15</v>
      </c>
      <c r="D167" s="87" t="s">
        <v>853</v>
      </c>
      <c r="E167" s="126" t="s">
        <v>794</v>
      </c>
      <c r="F167" s="126"/>
      <c r="G167" s="89" t="s">
        <v>785</v>
      </c>
      <c r="H167" s="90">
        <v>3.3E-3</v>
      </c>
      <c r="I167" s="91">
        <v>355.57</v>
      </c>
      <c r="J167" s="91">
        <v>1.17</v>
      </c>
    </row>
    <row r="168" spans="1:10" ht="38.25" x14ac:dyDescent="0.2">
      <c r="A168" s="92"/>
      <c r="B168" s="92"/>
      <c r="C168" s="92"/>
      <c r="D168" s="92"/>
      <c r="E168" s="92" t="s">
        <v>801</v>
      </c>
      <c r="F168" s="93">
        <v>0.14000000000000001</v>
      </c>
      <c r="G168" s="92" t="s">
        <v>802</v>
      </c>
      <c r="H168" s="93">
        <v>0</v>
      </c>
      <c r="I168" s="92" t="s">
        <v>803</v>
      </c>
      <c r="J168" s="93">
        <v>0.14000000000000001</v>
      </c>
    </row>
    <row r="169" spans="1:10" ht="38.25" x14ac:dyDescent="0.2">
      <c r="A169" s="92"/>
      <c r="B169" s="92"/>
      <c r="C169" s="92"/>
      <c r="D169" s="92"/>
      <c r="E169" s="92" t="s">
        <v>804</v>
      </c>
      <c r="F169" s="93">
        <v>1.68</v>
      </c>
      <c r="G169" s="92"/>
      <c r="H169" s="127" t="s">
        <v>805</v>
      </c>
      <c r="I169" s="127"/>
      <c r="J169" s="93">
        <v>7.52</v>
      </c>
    </row>
    <row r="170" spans="1:10" ht="15" thickBot="1" x14ac:dyDescent="0.25">
      <c r="A170" s="77"/>
      <c r="B170" s="77"/>
      <c r="C170" s="77"/>
      <c r="D170" s="77"/>
      <c r="E170" s="77"/>
      <c r="F170" s="77"/>
      <c r="G170" s="77" t="s">
        <v>806</v>
      </c>
      <c r="H170" s="94">
        <v>701.85</v>
      </c>
      <c r="I170" s="77" t="s">
        <v>807</v>
      </c>
      <c r="J170" s="78">
        <v>5277.91</v>
      </c>
    </row>
    <row r="171" spans="1:10" ht="15" thickTop="1" x14ac:dyDescent="0.2">
      <c r="A171" s="95"/>
      <c r="B171" s="95"/>
      <c r="C171" s="95"/>
      <c r="D171" s="95"/>
      <c r="E171" s="95"/>
      <c r="F171" s="95"/>
      <c r="G171" s="95"/>
      <c r="H171" s="95"/>
      <c r="I171" s="95"/>
      <c r="J171" s="95"/>
    </row>
    <row r="172" spans="1:10" ht="15" x14ac:dyDescent="0.2">
      <c r="A172" s="75" t="s">
        <v>90</v>
      </c>
      <c r="B172" s="17" t="s">
        <v>11</v>
      </c>
      <c r="C172" s="75" t="s">
        <v>12</v>
      </c>
      <c r="D172" s="75" t="s">
        <v>2</v>
      </c>
      <c r="E172" s="124" t="s">
        <v>779</v>
      </c>
      <c r="F172" s="124"/>
      <c r="G172" s="76" t="s">
        <v>3</v>
      </c>
      <c r="H172" s="17" t="s">
        <v>4</v>
      </c>
      <c r="I172" s="17" t="s">
        <v>13</v>
      </c>
      <c r="J172" s="17" t="s">
        <v>17</v>
      </c>
    </row>
    <row r="173" spans="1:10" ht="25.5" x14ac:dyDescent="0.2">
      <c r="A173" s="19" t="s">
        <v>780</v>
      </c>
      <c r="B173" s="20" t="s">
        <v>91</v>
      </c>
      <c r="C173" s="19" t="s">
        <v>15</v>
      </c>
      <c r="D173" s="19" t="s">
        <v>92</v>
      </c>
      <c r="E173" s="125">
        <v>7.01</v>
      </c>
      <c r="F173" s="125"/>
      <c r="G173" s="21" t="s">
        <v>50</v>
      </c>
      <c r="H173" s="86">
        <v>1</v>
      </c>
      <c r="I173" s="82">
        <v>16.350000000000001</v>
      </c>
      <c r="J173" s="82">
        <v>16.350000000000001</v>
      </c>
    </row>
    <row r="174" spans="1:10" ht="38.25" x14ac:dyDescent="0.2">
      <c r="A174" s="87" t="s">
        <v>781</v>
      </c>
      <c r="B174" s="88" t="s">
        <v>816</v>
      </c>
      <c r="C174" s="87" t="s">
        <v>15</v>
      </c>
      <c r="D174" s="87" t="s">
        <v>817</v>
      </c>
      <c r="E174" s="126" t="s">
        <v>784</v>
      </c>
      <c r="F174" s="126"/>
      <c r="G174" s="89" t="s">
        <v>785</v>
      </c>
      <c r="H174" s="90">
        <v>1.4E-2</v>
      </c>
      <c r="I174" s="91">
        <v>18.57</v>
      </c>
      <c r="J174" s="91">
        <v>0.25</v>
      </c>
    </row>
    <row r="175" spans="1:10" ht="38.25" x14ac:dyDescent="0.2">
      <c r="A175" s="87" t="s">
        <v>781</v>
      </c>
      <c r="B175" s="88" t="s">
        <v>848</v>
      </c>
      <c r="C175" s="87" t="s">
        <v>15</v>
      </c>
      <c r="D175" s="87" t="s">
        <v>849</v>
      </c>
      <c r="E175" s="126" t="s">
        <v>794</v>
      </c>
      <c r="F175" s="126"/>
      <c r="G175" s="89" t="s">
        <v>785</v>
      </c>
      <c r="H175" s="90">
        <v>3.4299999999999997E-2</v>
      </c>
      <c r="I175" s="91">
        <v>206.83</v>
      </c>
      <c r="J175" s="91">
        <v>7.09</v>
      </c>
    </row>
    <row r="176" spans="1:10" ht="38.25" x14ac:dyDescent="0.2">
      <c r="A176" s="87" t="s">
        <v>781</v>
      </c>
      <c r="B176" s="88" t="s">
        <v>854</v>
      </c>
      <c r="C176" s="87" t="s">
        <v>15</v>
      </c>
      <c r="D176" s="87" t="s">
        <v>855</v>
      </c>
      <c r="E176" s="126" t="s">
        <v>794</v>
      </c>
      <c r="F176" s="126"/>
      <c r="G176" s="89" t="s">
        <v>785</v>
      </c>
      <c r="H176" s="90">
        <v>1.4E-2</v>
      </c>
      <c r="I176" s="91">
        <v>289.14</v>
      </c>
      <c r="J176" s="91">
        <v>4.04</v>
      </c>
    </row>
    <row r="177" spans="1:10" ht="38.25" x14ac:dyDescent="0.2">
      <c r="A177" s="87" t="s">
        <v>781</v>
      </c>
      <c r="B177" s="88" t="s">
        <v>852</v>
      </c>
      <c r="C177" s="87" t="s">
        <v>15</v>
      </c>
      <c r="D177" s="87" t="s">
        <v>853</v>
      </c>
      <c r="E177" s="126" t="s">
        <v>794</v>
      </c>
      <c r="F177" s="126"/>
      <c r="G177" s="89" t="s">
        <v>785</v>
      </c>
      <c r="H177" s="90">
        <v>1.4E-2</v>
      </c>
      <c r="I177" s="91">
        <v>355.57</v>
      </c>
      <c r="J177" s="91">
        <v>4.97</v>
      </c>
    </row>
    <row r="178" spans="1:10" ht="38.25" x14ac:dyDescent="0.2">
      <c r="A178" s="92"/>
      <c r="B178" s="92"/>
      <c r="C178" s="92"/>
      <c r="D178" s="92"/>
      <c r="E178" s="92" t="s">
        <v>801</v>
      </c>
      <c r="F178" s="93">
        <v>0.25</v>
      </c>
      <c r="G178" s="92" t="s">
        <v>802</v>
      </c>
      <c r="H178" s="93">
        <v>0</v>
      </c>
      <c r="I178" s="92" t="s">
        <v>803</v>
      </c>
      <c r="J178" s="93">
        <v>0.25</v>
      </c>
    </row>
    <row r="179" spans="1:10" ht="38.25" x14ac:dyDescent="0.2">
      <c r="A179" s="92"/>
      <c r="B179" s="92"/>
      <c r="C179" s="92"/>
      <c r="D179" s="92"/>
      <c r="E179" s="92" t="s">
        <v>804</v>
      </c>
      <c r="F179" s="93">
        <v>4.71</v>
      </c>
      <c r="G179" s="92"/>
      <c r="H179" s="127" t="s">
        <v>805</v>
      </c>
      <c r="I179" s="127"/>
      <c r="J179" s="93">
        <v>21.06</v>
      </c>
    </row>
    <row r="180" spans="1:10" ht="15" thickBot="1" x14ac:dyDescent="0.25">
      <c r="A180" s="77"/>
      <c r="B180" s="77"/>
      <c r="C180" s="77"/>
      <c r="D180" s="77"/>
      <c r="E180" s="77"/>
      <c r="F180" s="77"/>
      <c r="G180" s="77" t="s">
        <v>806</v>
      </c>
      <c r="H180" s="94">
        <v>105.28</v>
      </c>
      <c r="I180" s="77" t="s">
        <v>807</v>
      </c>
      <c r="J180" s="78">
        <v>2217.19</v>
      </c>
    </row>
    <row r="181" spans="1:10" ht="15" thickTop="1" x14ac:dyDescent="0.2">
      <c r="A181" s="95"/>
      <c r="B181" s="95"/>
      <c r="C181" s="95"/>
      <c r="D181" s="95"/>
      <c r="E181" s="95"/>
      <c r="F181" s="95"/>
      <c r="G181" s="95"/>
      <c r="H181" s="95"/>
      <c r="I181" s="95"/>
      <c r="J181" s="95"/>
    </row>
    <row r="182" spans="1:10" ht="15" x14ac:dyDescent="0.2">
      <c r="A182" s="75" t="s">
        <v>93</v>
      </c>
      <c r="B182" s="17" t="s">
        <v>11</v>
      </c>
      <c r="C182" s="75" t="s">
        <v>12</v>
      </c>
      <c r="D182" s="75" t="s">
        <v>2</v>
      </c>
      <c r="E182" s="124" t="s">
        <v>779</v>
      </c>
      <c r="F182" s="124"/>
      <c r="G182" s="76" t="s">
        <v>3</v>
      </c>
      <c r="H182" s="17" t="s">
        <v>4</v>
      </c>
      <c r="I182" s="17" t="s">
        <v>13</v>
      </c>
      <c r="J182" s="17" t="s">
        <v>17</v>
      </c>
    </row>
    <row r="183" spans="1:10" ht="25.5" x14ac:dyDescent="0.2">
      <c r="A183" s="19" t="s">
        <v>780</v>
      </c>
      <c r="B183" s="20" t="s">
        <v>94</v>
      </c>
      <c r="C183" s="19" t="s">
        <v>15</v>
      </c>
      <c r="D183" s="19" t="s">
        <v>95</v>
      </c>
      <c r="E183" s="125">
        <v>7.12</v>
      </c>
      <c r="F183" s="125"/>
      <c r="G183" s="21" t="s">
        <v>50</v>
      </c>
      <c r="H183" s="86">
        <v>1</v>
      </c>
      <c r="I183" s="82">
        <v>20.54</v>
      </c>
      <c r="J183" s="82">
        <v>20.54</v>
      </c>
    </row>
    <row r="184" spans="1:10" ht="38.25" x14ac:dyDescent="0.2">
      <c r="A184" s="87" t="s">
        <v>781</v>
      </c>
      <c r="B184" s="88" t="s">
        <v>816</v>
      </c>
      <c r="C184" s="87" t="s">
        <v>15</v>
      </c>
      <c r="D184" s="87" t="s">
        <v>817</v>
      </c>
      <c r="E184" s="126" t="s">
        <v>784</v>
      </c>
      <c r="F184" s="126"/>
      <c r="G184" s="89" t="s">
        <v>785</v>
      </c>
      <c r="H184" s="90">
        <v>1.9900000000000001E-2</v>
      </c>
      <c r="I184" s="91">
        <v>18.57</v>
      </c>
      <c r="J184" s="91">
        <v>0.36</v>
      </c>
    </row>
    <row r="185" spans="1:10" ht="38.25" x14ac:dyDescent="0.2">
      <c r="A185" s="87" t="s">
        <v>781</v>
      </c>
      <c r="B185" s="88" t="s">
        <v>848</v>
      </c>
      <c r="C185" s="87" t="s">
        <v>15</v>
      </c>
      <c r="D185" s="87" t="s">
        <v>849</v>
      </c>
      <c r="E185" s="126" t="s">
        <v>794</v>
      </c>
      <c r="F185" s="126"/>
      <c r="G185" s="89" t="s">
        <v>785</v>
      </c>
      <c r="H185" s="90">
        <v>4.9299999999999997E-2</v>
      </c>
      <c r="I185" s="91">
        <v>206.83</v>
      </c>
      <c r="J185" s="91">
        <v>10.19</v>
      </c>
    </row>
    <row r="186" spans="1:10" ht="38.25" x14ac:dyDescent="0.2">
      <c r="A186" s="87" t="s">
        <v>781</v>
      </c>
      <c r="B186" s="88" t="s">
        <v>856</v>
      </c>
      <c r="C186" s="87" t="s">
        <v>15</v>
      </c>
      <c r="D186" s="87" t="s">
        <v>857</v>
      </c>
      <c r="E186" s="126" t="s">
        <v>794</v>
      </c>
      <c r="F186" s="126"/>
      <c r="G186" s="89" t="s">
        <v>785</v>
      </c>
      <c r="H186" s="90">
        <v>5.4000000000000003E-3</v>
      </c>
      <c r="I186" s="91">
        <v>369.14</v>
      </c>
      <c r="J186" s="91">
        <v>1.99</v>
      </c>
    </row>
    <row r="187" spans="1:10" ht="38.25" x14ac:dyDescent="0.2">
      <c r="A187" s="87" t="s">
        <v>781</v>
      </c>
      <c r="B187" s="88" t="s">
        <v>854</v>
      </c>
      <c r="C187" s="87" t="s">
        <v>15</v>
      </c>
      <c r="D187" s="87" t="s">
        <v>855</v>
      </c>
      <c r="E187" s="126" t="s">
        <v>794</v>
      </c>
      <c r="F187" s="126"/>
      <c r="G187" s="89" t="s">
        <v>785</v>
      </c>
      <c r="H187" s="90">
        <v>1.32E-2</v>
      </c>
      <c r="I187" s="91">
        <v>289.14</v>
      </c>
      <c r="J187" s="91">
        <v>3.81</v>
      </c>
    </row>
    <row r="188" spans="1:10" ht="38.25" x14ac:dyDescent="0.2">
      <c r="A188" s="87" t="s">
        <v>781</v>
      </c>
      <c r="B188" s="88" t="s">
        <v>852</v>
      </c>
      <c r="C188" s="87" t="s">
        <v>15</v>
      </c>
      <c r="D188" s="87" t="s">
        <v>853</v>
      </c>
      <c r="E188" s="126" t="s">
        <v>794</v>
      </c>
      <c r="F188" s="126"/>
      <c r="G188" s="89" t="s">
        <v>785</v>
      </c>
      <c r="H188" s="90">
        <v>1.18E-2</v>
      </c>
      <c r="I188" s="91">
        <v>355.57</v>
      </c>
      <c r="J188" s="91">
        <v>4.1900000000000004</v>
      </c>
    </row>
    <row r="189" spans="1:10" ht="38.25" x14ac:dyDescent="0.2">
      <c r="A189" s="92"/>
      <c r="B189" s="92"/>
      <c r="C189" s="92"/>
      <c r="D189" s="92"/>
      <c r="E189" s="92" t="s">
        <v>801</v>
      </c>
      <c r="F189" s="93">
        <v>0.36</v>
      </c>
      <c r="G189" s="92" t="s">
        <v>802</v>
      </c>
      <c r="H189" s="93">
        <v>0</v>
      </c>
      <c r="I189" s="92" t="s">
        <v>803</v>
      </c>
      <c r="J189" s="93">
        <v>0.36</v>
      </c>
    </row>
    <row r="190" spans="1:10" ht="38.25" x14ac:dyDescent="0.2">
      <c r="A190" s="92"/>
      <c r="B190" s="92"/>
      <c r="C190" s="92"/>
      <c r="D190" s="92"/>
      <c r="E190" s="92" t="s">
        <v>804</v>
      </c>
      <c r="F190" s="93">
        <v>5.91</v>
      </c>
      <c r="G190" s="92"/>
      <c r="H190" s="127" t="s">
        <v>805</v>
      </c>
      <c r="I190" s="127"/>
      <c r="J190" s="93">
        <v>26.45</v>
      </c>
    </row>
    <row r="191" spans="1:10" ht="15" thickBot="1" x14ac:dyDescent="0.25">
      <c r="A191" s="77"/>
      <c r="B191" s="77"/>
      <c r="C191" s="77"/>
      <c r="D191" s="77"/>
      <c r="E191" s="77"/>
      <c r="F191" s="77"/>
      <c r="G191" s="77" t="s">
        <v>806</v>
      </c>
      <c r="H191" s="94">
        <v>210.56</v>
      </c>
      <c r="I191" s="77" t="s">
        <v>807</v>
      </c>
      <c r="J191" s="78">
        <v>5569.31</v>
      </c>
    </row>
    <row r="192" spans="1:10" ht="15" thickTop="1" x14ac:dyDescent="0.2">
      <c r="A192" s="95"/>
      <c r="B192" s="95"/>
      <c r="C192" s="95"/>
      <c r="D192" s="95"/>
      <c r="E192" s="95"/>
      <c r="F192" s="95"/>
      <c r="G192" s="95"/>
      <c r="H192" s="95"/>
      <c r="I192" s="95"/>
      <c r="J192" s="95"/>
    </row>
    <row r="193" spans="1:10" ht="15" x14ac:dyDescent="0.2">
      <c r="A193" s="75" t="s">
        <v>96</v>
      </c>
      <c r="B193" s="17" t="s">
        <v>11</v>
      </c>
      <c r="C193" s="75" t="s">
        <v>12</v>
      </c>
      <c r="D193" s="75" t="s">
        <v>2</v>
      </c>
      <c r="E193" s="124" t="s">
        <v>779</v>
      </c>
      <c r="F193" s="124"/>
      <c r="G193" s="76" t="s">
        <v>3</v>
      </c>
      <c r="H193" s="17" t="s">
        <v>4</v>
      </c>
      <c r="I193" s="17" t="s">
        <v>13</v>
      </c>
      <c r="J193" s="17" t="s">
        <v>17</v>
      </c>
    </row>
    <row r="194" spans="1:10" ht="25.5" x14ac:dyDescent="0.2">
      <c r="A194" s="19" t="s">
        <v>780</v>
      </c>
      <c r="B194" s="20" t="s">
        <v>97</v>
      </c>
      <c r="C194" s="19" t="s">
        <v>15</v>
      </c>
      <c r="D194" s="19" t="s">
        <v>98</v>
      </c>
      <c r="E194" s="125">
        <v>7.12</v>
      </c>
      <c r="F194" s="125"/>
      <c r="G194" s="21" t="s">
        <v>50</v>
      </c>
      <c r="H194" s="86">
        <v>1</v>
      </c>
      <c r="I194" s="82">
        <v>12.14</v>
      </c>
      <c r="J194" s="82">
        <v>12.14</v>
      </c>
    </row>
    <row r="195" spans="1:10" ht="38.25" x14ac:dyDescent="0.2">
      <c r="A195" s="87" t="s">
        <v>781</v>
      </c>
      <c r="B195" s="88" t="s">
        <v>816</v>
      </c>
      <c r="C195" s="87" t="s">
        <v>15</v>
      </c>
      <c r="D195" s="87" t="s">
        <v>817</v>
      </c>
      <c r="E195" s="126" t="s">
        <v>784</v>
      </c>
      <c r="F195" s="126"/>
      <c r="G195" s="89" t="s">
        <v>785</v>
      </c>
      <c r="H195" s="90">
        <v>6.6E-3</v>
      </c>
      <c r="I195" s="91">
        <v>18.57</v>
      </c>
      <c r="J195" s="91">
        <v>0.12</v>
      </c>
    </row>
    <row r="196" spans="1:10" ht="38.25" x14ac:dyDescent="0.2">
      <c r="A196" s="87" t="s">
        <v>781</v>
      </c>
      <c r="B196" s="88" t="s">
        <v>856</v>
      </c>
      <c r="C196" s="87" t="s">
        <v>15</v>
      </c>
      <c r="D196" s="87" t="s">
        <v>857</v>
      </c>
      <c r="E196" s="126" t="s">
        <v>794</v>
      </c>
      <c r="F196" s="126"/>
      <c r="G196" s="89" t="s">
        <v>785</v>
      </c>
      <c r="H196" s="90">
        <v>7.1000000000000004E-3</v>
      </c>
      <c r="I196" s="91">
        <v>369.14</v>
      </c>
      <c r="J196" s="91">
        <v>2.62</v>
      </c>
    </row>
    <row r="197" spans="1:10" ht="38.25" x14ac:dyDescent="0.2">
      <c r="A197" s="87" t="s">
        <v>781</v>
      </c>
      <c r="B197" s="88" t="s">
        <v>858</v>
      </c>
      <c r="C197" s="87" t="s">
        <v>15</v>
      </c>
      <c r="D197" s="87" t="s">
        <v>859</v>
      </c>
      <c r="E197" s="126" t="s">
        <v>794</v>
      </c>
      <c r="F197" s="126"/>
      <c r="G197" s="89" t="s">
        <v>785</v>
      </c>
      <c r="H197" s="90">
        <v>1.49E-2</v>
      </c>
      <c r="I197" s="91">
        <v>220.53</v>
      </c>
      <c r="J197" s="91">
        <v>3.28</v>
      </c>
    </row>
    <row r="198" spans="1:10" ht="38.25" x14ac:dyDescent="0.2">
      <c r="A198" s="87" t="s">
        <v>781</v>
      </c>
      <c r="B198" s="88" t="s">
        <v>860</v>
      </c>
      <c r="C198" s="87" t="s">
        <v>15</v>
      </c>
      <c r="D198" s="87" t="s">
        <v>861</v>
      </c>
      <c r="E198" s="126" t="s">
        <v>794</v>
      </c>
      <c r="F198" s="126"/>
      <c r="G198" s="89" t="s">
        <v>785</v>
      </c>
      <c r="H198" s="90">
        <v>3.8E-3</v>
      </c>
      <c r="I198" s="91">
        <v>300.95999999999998</v>
      </c>
      <c r="J198" s="91">
        <v>1.1399999999999999</v>
      </c>
    </row>
    <row r="199" spans="1:10" ht="38.25" x14ac:dyDescent="0.2">
      <c r="A199" s="87" t="s">
        <v>781</v>
      </c>
      <c r="B199" s="88" t="s">
        <v>862</v>
      </c>
      <c r="C199" s="87" t="s">
        <v>15</v>
      </c>
      <c r="D199" s="87" t="s">
        <v>863</v>
      </c>
      <c r="E199" s="126" t="s">
        <v>794</v>
      </c>
      <c r="F199" s="126"/>
      <c r="G199" s="89" t="s">
        <v>785</v>
      </c>
      <c r="H199" s="90">
        <v>1.4999999999999999E-2</v>
      </c>
      <c r="I199" s="91">
        <v>195.87</v>
      </c>
      <c r="J199" s="91">
        <v>2.93</v>
      </c>
    </row>
    <row r="200" spans="1:10" ht="38.25" x14ac:dyDescent="0.2">
      <c r="A200" s="87" t="s">
        <v>781</v>
      </c>
      <c r="B200" s="88" t="s">
        <v>854</v>
      </c>
      <c r="C200" s="87" t="s">
        <v>15</v>
      </c>
      <c r="D200" s="87" t="s">
        <v>855</v>
      </c>
      <c r="E200" s="126" t="s">
        <v>794</v>
      </c>
      <c r="F200" s="126"/>
      <c r="G200" s="89" t="s">
        <v>785</v>
      </c>
      <c r="H200" s="90">
        <v>7.1000000000000004E-3</v>
      </c>
      <c r="I200" s="91">
        <v>289.14</v>
      </c>
      <c r="J200" s="91">
        <v>2.0499999999999998</v>
      </c>
    </row>
    <row r="201" spans="1:10" ht="38.25" x14ac:dyDescent="0.2">
      <c r="A201" s="92"/>
      <c r="B201" s="92"/>
      <c r="C201" s="92"/>
      <c r="D201" s="92"/>
      <c r="E201" s="92" t="s">
        <v>801</v>
      </c>
      <c r="F201" s="93">
        <v>0.12</v>
      </c>
      <c r="G201" s="92" t="s">
        <v>802</v>
      </c>
      <c r="H201" s="93">
        <v>0</v>
      </c>
      <c r="I201" s="92" t="s">
        <v>803</v>
      </c>
      <c r="J201" s="93">
        <v>0.12</v>
      </c>
    </row>
    <row r="202" spans="1:10" ht="38.25" x14ac:dyDescent="0.2">
      <c r="A202" s="92"/>
      <c r="B202" s="92"/>
      <c r="C202" s="92"/>
      <c r="D202" s="92"/>
      <c r="E202" s="92" t="s">
        <v>804</v>
      </c>
      <c r="F202" s="93">
        <v>3.49</v>
      </c>
      <c r="G202" s="92"/>
      <c r="H202" s="127" t="s">
        <v>805</v>
      </c>
      <c r="I202" s="127"/>
      <c r="J202" s="93">
        <v>15.63</v>
      </c>
    </row>
    <row r="203" spans="1:10" ht="15" thickBot="1" x14ac:dyDescent="0.25">
      <c r="A203" s="77"/>
      <c r="B203" s="77"/>
      <c r="C203" s="77"/>
      <c r="D203" s="77"/>
      <c r="E203" s="77"/>
      <c r="F203" s="77"/>
      <c r="G203" s="77" t="s">
        <v>806</v>
      </c>
      <c r="H203" s="94">
        <v>210.56</v>
      </c>
      <c r="I203" s="77" t="s">
        <v>807</v>
      </c>
      <c r="J203" s="78">
        <v>3291.05</v>
      </c>
    </row>
    <row r="204" spans="1:10" ht="15" thickTop="1" x14ac:dyDescent="0.2">
      <c r="A204" s="95"/>
      <c r="B204" s="95"/>
      <c r="C204" s="95"/>
      <c r="D204" s="95"/>
      <c r="E204" s="95"/>
      <c r="F204" s="95"/>
      <c r="G204" s="95"/>
      <c r="H204" s="95"/>
      <c r="I204" s="95"/>
      <c r="J204" s="95"/>
    </row>
    <row r="205" spans="1:10" ht="15" x14ac:dyDescent="0.2">
      <c r="A205" s="75" t="s">
        <v>99</v>
      </c>
      <c r="B205" s="17" t="s">
        <v>11</v>
      </c>
      <c r="C205" s="75" t="s">
        <v>12</v>
      </c>
      <c r="D205" s="75" t="s">
        <v>2</v>
      </c>
      <c r="E205" s="124" t="s">
        <v>779</v>
      </c>
      <c r="F205" s="124"/>
      <c r="G205" s="76" t="s">
        <v>3</v>
      </c>
      <c r="H205" s="17" t="s">
        <v>4</v>
      </c>
      <c r="I205" s="17" t="s">
        <v>13</v>
      </c>
      <c r="J205" s="17" t="s">
        <v>17</v>
      </c>
    </row>
    <row r="206" spans="1:10" ht="25.5" x14ac:dyDescent="0.2">
      <c r="A206" s="19" t="s">
        <v>780</v>
      </c>
      <c r="B206" s="20" t="s">
        <v>100</v>
      </c>
      <c r="C206" s="19" t="s">
        <v>15</v>
      </c>
      <c r="D206" s="19" t="s">
        <v>101</v>
      </c>
      <c r="E206" s="125">
        <v>5.0999999999999996</v>
      </c>
      <c r="F206" s="125"/>
      <c r="G206" s="21" t="s">
        <v>50</v>
      </c>
      <c r="H206" s="86">
        <v>1</v>
      </c>
      <c r="I206" s="82">
        <v>6.4</v>
      </c>
      <c r="J206" s="82">
        <v>6.4</v>
      </c>
    </row>
    <row r="207" spans="1:10" ht="38.25" x14ac:dyDescent="0.2">
      <c r="A207" s="87" t="s">
        <v>781</v>
      </c>
      <c r="B207" s="88" t="s">
        <v>852</v>
      </c>
      <c r="C207" s="87" t="s">
        <v>15</v>
      </c>
      <c r="D207" s="87" t="s">
        <v>853</v>
      </c>
      <c r="E207" s="126" t="s">
        <v>794</v>
      </c>
      <c r="F207" s="126"/>
      <c r="G207" s="89" t="s">
        <v>785</v>
      </c>
      <c r="H207" s="90">
        <v>1.7999999999999999E-2</v>
      </c>
      <c r="I207" s="91">
        <v>355.57</v>
      </c>
      <c r="J207" s="91">
        <v>6.4</v>
      </c>
    </row>
    <row r="208" spans="1:10" ht="38.25" x14ac:dyDescent="0.2">
      <c r="A208" s="92"/>
      <c r="B208" s="92"/>
      <c r="C208" s="92"/>
      <c r="D208" s="92"/>
      <c r="E208" s="92" t="s">
        <v>801</v>
      </c>
      <c r="F208" s="93">
        <v>0</v>
      </c>
      <c r="G208" s="92" t="s">
        <v>802</v>
      </c>
      <c r="H208" s="93">
        <v>0</v>
      </c>
      <c r="I208" s="92" t="s">
        <v>803</v>
      </c>
      <c r="J208" s="93">
        <v>0</v>
      </c>
    </row>
    <row r="209" spans="1:10" ht="38.25" x14ac:dyDescent="0.2">
      <c r="A209" s="92"/>
      <c r="B209" s="92"/>
      <c r="C209" s="92"/>
      <c r="D209" s="92"/>
      <c r="E209" s="92" t="s">
        <v>804</v>
      </c>
      <c r="F209" s="93">
        <v>1.84</v>
      </c>
      <c r="G209" s="92"/>
      <c r="H209" s="127" t="s">
        <v>805</v>
      </c>
      <c r="I209" s="127"/>
      <c r="J209" s="93">
        <v>8.24</v>
      </c>
    </row>
    <row r="210" spans="1:10" ht="15" thickBot="1" x14ac:dyDescent="0.25">
      <c r="A210" s="77"/>
      <c r="B210" s="77"/>
      <c r="C210" s="77"/>
      <c r="D210" s="77"/>
      <c r="E210" s="77"/>
      <c r="F210" s="77"/>
      <c r="G210" s="77" t="s">
        <v>806</v>
      </c>
      <c r="H210" s="94">
        <v>136.86000000000001</v>
      </c>
      <c r="I210" s="77" t="s">
        <v>807</v>
      </c>
      <c r="J210" s="78">
        <v>1127.72</v>
      </c>
    </row>
    <row r="211" spans="1:10" ht="15" thickTop="1" x14ac:dyDescent="0.2">
      <c r="A211" s="95"/>
      <c r="B211" s="95"/>
      <c r="C211" s="95"/>
      <c r="D211" s="95"/>
      <c r="E211" s="95"/>
      <c r="F211" s="95"/>
      <c r="G211" s="95"/>
      <c r="H211" s="95"/>
      <c r="I211" s="95"/>
      <c r="J211" s="95"/>
    </row>
    <row r="212" spans="1:10" ht="15" x14ac:dyDescent="0.2">
      <c r="A212" s="75" t="s">
        <v>102</v>
      </c>
      <c r="B212" s="17" t="s">
        <v>11</v>
      </c>
      <c r="C212" s="75" t="s">
        <v>12</v>
      </c>
      <c r="D212" s="75" t="s">
        <v>2</v>
      </c>
      <c r="E212" s="124" t="s">
        <v>779</v>
      </c>
      <c r="F212" s="124"/>
      <c r="G212" s="76" t="s">
        <v>3</v>
      </c>
      <c r="H212" s="17" t="s">
        <v>4</v>
      </c>
      <c r="I212" s="17" t="s">
        <v>13</v>
      </c>
      <c r="J212" s="17" t="s">
        <v>17</v>
      </c>
    </row>
    <row r="213" spans="1:10" ht="25.5" x14ac:dyDescent="0.2">
      <c r="A213" s="19" t="s">
        <v>780</v>
      </c>
      <c r="B213" s="20" t="s">
        <v>103</v>
      </c>
      <c r="C213" s="19" t="s">
        <v>15</v>
      </c>
      <c r="D213" s="19" t="s">
        <v>104</v>
      </c>
      <c r="E213" s="125">
        <v>5.0999999999999996</v>
      </c>
      <c r="F213" s="125"/>
      <c r="G213" s="21" t="s">
        <v>50</v>
      </c>
      <c r="H213" s="86">
        <v>1</v>
      </c>
      <c r="I213" s="82">
        <v>40.619999999999997</v>
      </c>
      <c r="J213" s="82">
        <v>40.619999999999997</v>
      </c>
    </row>
    <row r="214" spans="1:10" ht="38.25" x14ac:dyDescent="0.2">
      <c r="A214" s="87" t="s">
        <v>781</v>
      </c>
      <c r="B214" s="88" t="s">
        <v>848</v>
      </c>
      <c r="C214" s="87" t="s">
        <v>15</v>
      </c>
      <c r="D214" s="87" t="s">
        <v>849</v>
      </c>
      <c r="E214" s="126" t="s">
        <v>794</v>
      </c>
      <c r="F214" s="126"/>
      <c r="G214" s="89" t="s">
        <v>785</v>
      </c>
      <c r="H214" s="90">
        <v>0.19639999999999999</v>
      </c>
      <c r="I214" s="91">
        <v>206.83</v>
      </c>
      <c r="J214" s="91">
        <v>40.619999999999997</v>
      </c>
    </row>
    <row r="215" spans="1:10" ht="38.25" x14ac:dyDescent="0.2">
      <c r="A215" s="92"/>
      <c r="B215" s="92"/>
      <c r="C215" s="92"/>
      <c r="D215" s="92"/>
      <c r="E215" s="92" t="s">
        <v>801</v>
      </c>
      <c r="F215" s="93">
        <v>0</v>
      </c>
      <c r="G215" s="92" t="s">
        <v>802</v>
      </c>
      <c r="H215" s="93">
        <v>0</v>
      </c>
      <c r="I215" s="92" t="s">
        <v>803</v>
      </c>
      <c r="J215" s="93">
        <v>0</v>
      </c>
    </row>
    <row r="216" spans="1:10" ht="38.25" x14ac:dyDescent="0.2">
      <c r="A216" s="92"/>
      <c r="B216" s="92"/>
      <c r="C216" s="92"/>
      <c r="D216" s="92"/>
      <c r="E216" s="92" t="s">
        <v>804</v>
      </c>
      <c r="F216" s="93">
        <v>11.7</v>
      </c>
      <c r="G216" s="92"/>
      <c r="H216" s="127" t="s">
        <v>805</v>
      </c>
      <c r="I216" s="127"/>
      <c r="J216" s="93">
        <v>52.32</v>
      </c>
    </row>
    <row r="217" spans="1:10" ht="15" thickBot="1" x14ac:dyDescent="0.25">
      <c r="A217" s="77"/>
      <c r="B217" s="77"/>
      <c r="C217" s="77"/>
      <c r="D217" s="77"/>
      <c r="E217" s="77"/>
      <c r="F217" s="77"/>
      <c r="G217" s="77" t="s">
        <v>806</v>
      </c>
      <c r="H217" s="94">
        <v>136.86000000000001</v>
      </c>
      <c r="I217" s="77" t="s">
        <v>807</v>
      </c>
      <c r="J217" s="78">
        <v>7160.51</v>
      </c>
    </row>
    <row r="218" spans="1:10" ht="15" thickTop="1" x14ac:dyDescent="0.2">
      <c r="A218" s="95"/>
      <c r="B218" s="95"/>
      <c r="C218" s="95"/>
      <c r="D218" s="95"/>
      <c r="E218" s="95"/>
      <c r="F218" s="95"/>
      <c r="G218" s="95"/>
      <c r="H218" s="95"/>
      <c r="I218" s="95"/>
      <c r="J218" s="95"/>
    </row>
    <row r="219" spans="1:10" x14ac:dyDescent="0.2">
      <c r="A219" s="18" t="s">
        <v>105</v>
      </c>
      <c r="B219" s="18"/>
      <c r="C219" s="18"/>
      <c r="D219" s="18" t="s">
        <v>106</v>
      </c>
      <c r="E219" s="18"/>
      <c r="F219" s="122"/>
      <c r="G219" s="122"/>
      <c r="H219" s="39"/>
      <c r="I219" s="18"/>
      <c r="J219" s="80">
        <v>18796.560000000001</v>
      </c>
    </row>
    <row r="220" spans="1:10" x14ac:dyDescent="0.2">
      <c r="A220" s="18" t="s">
        <v>107</v>
      </c>
      <c r="B220" s="18"/>
      <c r="C220" s="18"/>
      <c r="D220" s="18" t="s">
        <v>108</v>
      </c>
      <c r="E220" s="18"/>
      <c r="F220" s="122"/>
      <c r="G220" s="122"/>
      <c r="H220" s="39"/>
      <c r="I220" s="18"/>
      <c r="J220" s="80">
        <v>9390.4699999999993</v>
      </c>
    </row>
    <row r="221" spans="1:10" ht="15" x14ac:dyDescent="0.2">
      <c r="A221" s="75" t="s">
        <v>109</v>
      </c>
      <c r="B221" s="17" t="s">
        <v>11</v>
      </c>
      <c r="C221" s="75" t="s">
        <v>12</v>
      </c>
      <c r="D221" s="75" t="s">
        <v>2</v>
      </c>
      <c r="E221" s="124" t="s">
        <v>779</v>
      </c>
      <c r="F221" s="124"/>
      <c r="G221" s="76" t="s">
        <v>3</v>
      </c>
      <c r="H221" s="17" t="s">
        <v>4</v>
      </c>
      <c r="I221" s="17" t="s">
        <v>13</v>
      </c>
      <c r="J221" s="17" t="s">
        <v>17</v>
      </c>
    </row>
    <row r="222" spans="1:10" ht="25.5" x14ac:dyDescent="0.2">
      <c r="A222" s="19" t="s">
        <v>780</v>
      </c>
      <c r="B222" s="20" t="s">
        <v>110</v>
      </c>
      <c r="C222" s="19" t="s">
        <v>15</v>
      </c>
      <c r="D222" s="19" t="s">
        <v>111</v>
      </c>
      <c r="E222" s="125">
        <v>12.05</v>
      </c>
      <c r="F222" s="125"/>
      <c r="G222" s="21" t="s">
        <v>78</v>
      </c>
      <c r="H222" s="86">
        <v>1</v>
      </c>
      <c r="I222" s="82">
        <v>56.13</v>
      </c>
      <c r="J222" s="82">
        <v>56.13</v>
      </c>
    </row>
    <row r="223" spans="1:10" ht="38.25" x14ac:dyDescent="0.2">
      <c r="A223" s="87" t="s">
        <v>781</v>
      </c>
      <c r="B223" s="88" t="s">
        <v>864</v>
      </c>
      <c r="C223" s="87" t="s">
        <v>15</v>
      </c>
      <c r="D223" s="87" t="s">
        <v>111</v>
      </c>
      <c r="E223" s="126" t="s">
        <v>794</v>
      </c>
      <c r="F223" s="126"/>
      <c r="G223" s="89" t="s">
        <v>78</v>
      </c>
      <c r="H223" s="90">
        <v>1</v>
      </c>
      <c r="I223" s="91">
        <v>16.670000000000002</v>
      </c>
      <c r="J223" s="91">
        <v>16.670000000000002</v>
      </c>
    </row>
    <row r="224" spans="1:10" ht="38.25" x14ac:dyDescent="0.2">
      <c r="A224" s="87" t="s">
        <v>781</v>
      </c>
      <c r="B224" s="88" t="s">
        <v>865</v>
      </c>
      <c r="C224" s="87" t="s">
        <v>15</v>
      </c>
      <c r="D224" s="87" t="s">
        <v>866</v>
      </c>
      <c r="E224" s="126" t="s">
        <v>784</v>
      </c>
      <c r="F224" s="126"/>
      <c r="G224" s="89" t="s">
        <v>785</v>
      </c>
      <c r="H224" s="90">
        <v>1.9400000000000001E-2</v>
      </c>
      <c r="I224" s="91">
        <v>18.57</v>
      </c>
      <c r="J224" s="91">
        <v>0.36</v>
      </c>
    </row>
    <row r="225" spans="1:10" ht="38.25" x14ac:dyDescent="0.2">
      <c r="A225" s="87" t="s">
        <v>781</v>
      </c>
      <c r="B225" s="88" t="s">
        <v>867</v>
      </c>
      <c r="C225" s="87" t="s">
        <v>15</v>
      </c>
      <c r="D225" s="87" t="s">
        <v>868</v>
      </c>
      <c r="E225" s="126" t="s">
        <v>784</v>
      </c>
      <c r="F225" s="126"/>
      <c r="G225" s="89" t="s">
        <v>785</v>
      </c>
      <c r="H225" s="90">
        <v>9.7000000000000003E-3</v>
      </c>
      <c r="I225" s="91">
        <v>22.61</v>
      </c>
      <c r="J225" s="91">
        <v>0.21</v>
      </c>
    </row>
    <row r="226" spans="1:10" ht="38.25" x14ac:dyDescent="0.2">
      <c r="A226" s="87" t="s">
        <v>781</v>
      </c>
      <c r="B226" s="88" t="s">
        <v>832</v>
      </c>
      <c r="C226" s="87" t="s">
        <v>15</v>
      </c>
      <c r="D226" s="87" t="s">
        <v>833</v>
      </c>
      <c r="E226" s="126" t="s">
        <v>784</v>
      </c>
      <c r="F226" s="126"/>
      <c r="G226" s="89" t="s">
        <v>785</v>
      </c>
      <c r="H226" s="90">
        <v>9.8100000000000007E-2</v>
      </c>
      <c r="I226" s="91">
        <v>22.61</v>
      </c>
      <c r="J226" s="91">
        <v>2.21</v>
      </c>
    </row>
    <row r="227" spans="1:10" ht="38.25" x14ac:dyDescent="0.2">
      <c r="A227" s="87" t="s">
        <v>781</v>
      </c>
      <c r="B227" s="88" t="s">
        <v>816</v>
      </c>
      <c r="C227" s="87" t="s">
        <v>15</v>
      </c>
      <c r="D227" s="87" t="s">
        <v>817</v>
      </c>
      <c r="E227" s="126" t="s">
        <v>784</v>
      </c>
      <c r="F227" s="126"/>
      <c r="G227" s="89" t="s">
        <v>785</v>
      </c>
      <c r="H227" s="90">
        <v>0.58879999999999999</v>
      </c>
      <c r="I227" s="91">
        <v>18.57</v>
      </c>
      <c r="J227" s="91">
        <v>10.93</v>
      </c>
    </row>
    <row r="228" spans="1:10" ht="38.25" x14ac:dyDescent="0.2">
      <c r="A228" s="87" t="s">
        <v>781</v>
      </c>
      <c r="B228" s="88" t="s">
        <v>869</v>
      </c>
      <c r="C228" s="87" t="s">
        <v>15</v>
      </c>
      <c r="D228" s="87" t="s">
        <v>870</v>
      </c>
      <c r="E228" s="126" t="s">
        <v>794</v>
      </c>
      <c r="F228" s="126"/>
      <c r="G228" s="89" t="s">
        <v>50</v>
      </c>
      <c r="H228" s="90">
        <v>4.9099999999999998E-2</v>
      </c>
      <c r="I228" s="91">
        <v>485.62</v>
      </c>
      <c r="J228" s="91">
        <v>23.84</v>
      </c>
    </row>
    <row r="229" spans="1:10" ht="38.25" x14ac:dyDescent="0.2">
      <c r="A229" s="87" t="s">
        <v>781</v>
      </c>
      <c r="B229" s="88" t="s">
        <v>871</v>
      </c>
      <c r="C229" s="87" t="s">
        <v>15</v>
      </c>
      <c r="D229" s="87" t="s">
        <v>872</v>
      </c>
      <c r="E229" s="126" t="s">
        <v>794</v>
      </c>
      <c r="F229" s="126"/>
      <c r="G229" s="89" t="s">
        <v>134</v>
      </c>
      <c r="H229" s="90">
        <v>0.2331</v>
      </c>
      <c r="I229" s="91">
        <v>6.9</v>
      </c>
      <c r="J229" s="91">
        <v>1.6</v>
      </c>
    </row>
    <row r="230" spans="1:10" ht="38.25" x14ac:dyDescent="0.2">
      <c r="A230" s="87" t="s">
        <v>781</v>
      </c>
      <c r="B230" s="88" t="s">
        <v>873</v>
      </c>
      <c r="C230" s="87" t="s">
        <v>15</v>
      </c>
      <c r="D230" s="87" t="s">
        <v>874</v>
      </c>
      <c r="E230" s="126" t="s">
        <v>794</v>
      </c>
      <c r="F230" s="126"/>
      <c r="G230" s="89" t="s">
        <v>134</v>
      </c>
      <c r="H230" s="90">
        <v>3.3700000000000001E-2</v>
      </c>
      <c r="I230" s="91">
        <v>7.43</v>
      </c>
      <c r="J230" s="91">
        <v>0.25</v>
      </c>
    </row>
    <row r="231" spans="1:10" ht="38.25" x14ac:dyDescent="0.2">
      <c r="A231" s="87" t="s">
        <v>781</v>
      </c>
      <c r="B231" s="88" t="s">
        <v>875</v>
      </c>
      <c r="C231" s="87" t="s">
        <v>15</v>
      </c>
      <c r="D231" s="87" t="s">
        <v>876</v>
      </c>
      <c r="E231" s="126" t="s">
        <v>794</v>
      </c>
      <c r="F231" s="126"/>
      <c r="G231" s="89" t="s">
        <v>134</v>
      </c>
      <c r="H231" s="90">
        <v>4.7999999999999996E-3</v>
      </c>
      <c r="I231" s="91">
        <v>13.7</v>
      </c>
      <c r="J231" s="91">
        <v>0.06</v>
      </c>
    </row>
    <row r="232" spans="1:10" ht="38.25" x14ac:dyDescent="0.2">
      <c r="A232" s="92"/>
      <c r="B232" s="92"/>
      <c r="C232" s="92"/>
      <c r="D232" s="92"/>
      <c r="E232" s="92" t="s">
        <v>801</v>
      </c>
      <c r="F232" s="93">
        <v>13.71</v>
      </c>
      <c r="G232" s="92" t="s">
        <v>802</v>
      </c>
      <c r="H232" s="93">
        <v>0</v>
      </c>
      <c r="I232" s="92" t="s">
        <v>803</v>
      </c>
      <c r="J232" s="93">
        <v>13.71</v>
      </c>
    </row>
    <row r="233" spans="1:10" ht="38.25" x14ac:dyDescent="0.2">
      <c r="A233" s="92"/>
      <c r="B233" s="92"/>
      <c r="C233" s="92"/>
      <c r="D233" s="92"/>
      <c r="E233" s="92" t="s">
        <v>804</v>
      </c>
      <c r="F233" s="93">
        <v>16.170000000000002</v>
      </c>
      <c r="G233" s="92"/>
      <c r="H233" s="127" t="s">
        <v>805</v>
      </c>
      <c r="I233" s="127"/>
      <c r="J233" s="93">
        <v>72.3</v>
      </c>
    </row>
    <row r="234" spans="1:10" ht="15" thickBot="1" x14ac:dyDescent="0.25">
      <c r="A234" s="77"/>
      <c r="B234" s="77"/>
      <c r="C234" s="77"/>
      <c r="D234" s="77"/>
      <c r="E234" s="77"/>
      <c r="F234" s="77"/>
      <c r="G234" s="77" t="s">
        <v>806</v>
      </c>
      <c r="H234" s="94">
        <v>85</v>
      </c>
      <c r="I234" s="77" t="s">
        <v>807</v>
      </c>
      <c r="J234" s="78">
        <v>6145.5</v>
      </c>
    </row>
    <row r="235" spans="1:10" ht="15" thickTop="1" x14ac:dyDescent="0.2">
      <c r="A235" s="95"/>
      <c r="B235" s="95"/>
      <c r="C235" s="95"/>
      <c r="D235" s="95"/>
      <c r="E235" s="95"/>
      <c r="F235" s="95"/>
      <c r="G235" s="95"/>
      <c r="H235" s="95"/>
      <c r="I235" s="95"/>
      <c r="J235" s="95"/>
    </row>
    <row r="236" spans="1:10" ht="15" x14ac:dyDescent="0.2">
      <c r="A236" s="75" t="s">
        <v>112</v>
      </c>
      <c r="B236" s="17" t="s">
        <v>11</v>
      </c>
      <c r="C236" s="75" t="s">
        <v>12</v>
      </c>
      <c r="D236" s="75" t="s">
        <v>2</v>
      </c>
      <c r="E236" s="124" t="s">
        <v>779</v>
      </c>
      <c r="F236" s="124"/>
      <c r="G236" s="76" t="s">
        <v>3</v>
      </c>
      <c r="H236" s="17" t="s">
        <v>4</v>
      </c>
      <c r="I236" s="17" t="s">
        <v>13</v>
      </c>
      <c r="J236" s="17" t="s">
        <v>17</v>
      </c>
    </row>
    <row r="237" spans="1:10" ht="25.5" x14ac:dyDescent="0.2">
      <c r="A237" s="19" t="s">
        <v>780</v>
      </c>
      <c r="B237" s="20" t="s">
        <v>132</v>
      </c>
      <c r="C237" s="19" t="s">
        <v>15</v>
      </c>
      <c r="D237" s="19" t="s">
        <v>133</v>
      </c>
      <c r="E237" s="125">
        <v>10.01</v>
      </c>
      <c r="F237" s="125"/>
      <c r="G237" s="21" t="s">
        <v>134</v>
      </c>
      <c r="H237" s="86">
        <v>1</v>
      </c>
      <c r="I237" s="82">
        <v>10.38</v>
      </c>
      <c r="J237" s="82">
        <v>10.38</v>
      </c>
    </row>
    <row r="238" spans="1:10" ht="38.25" x14ac:dyDescent="0.2">
      <c r="A238" s="87" t="s">
        <v>781</v>
      </c>
      <c r="B238" s="88" t="s">
        <v>865</v>
      </c>
      <c r="C238" s="87" t="s">
        <v>15</v>
      </c>
      <c r="D238" s="87" t="s">
        <v>866</v>
      </c>
      <c r="E238" s="126" t="s">
        <v>784</v>
      </c>
      <c r="F238" s="126"/>
      <c r="G238" s="89" t="s">
        <v>785</v>
      </c>
      <c r="H238" s="90">
        <v>0.08</v>
      </c>
      <c r="I238" s="91">
        <v>18.57</v>
      </c>
      <c r="J238" s="91">
        <v>1.48</v>
      </c>
    </row>
    <row r="239" spans="1:10" ht="38.25" x14ac:dyDescent="0.2">
      <c r="A239" s="87" t="s">
        <v>781</v>
      </c>
      <c r="B239" s="88" t="s">
        <v>867</v>
      </c>
      <c r="C239" s="87" t="s">
        <v>15</v>
      </c>
      <c r="D239" s="87" t="s">
        <v>868</v>
      </c>
      <c r="E239" s="126" t="s">
        <v>784</v>
      </c>
      <c r="F239" s="126"/>
      <c r="G239" s="89" t="s">
        <v>785</v>
      </c>
      <c r="H239" s="90">
        <v>0.04</v>
      </c>
      <c r="I239" s="91">
        <v>22.61</v>
      </c>
      <c r="J239" s="91">
        <v>0.9</v>
      </c>
    </row>
    <row r="240" spans="1:10" ht="38.25" x14ac:dyDescent="0.2">
      <c r="A240" s="87" t="s">
        <v>781</v>
      </c>
      <c r="B240" s="88" t="s">
        <v>871</v>
      </c>
      <c r="C240" s="87" t="s">
        <v>15</v>
      </c>
      <c r="D240" s="87" t="s">
        <v>872</v>
      </c>
      <c r="E240" s="126" t="s">
        <v>794</v>
      </c>
      <c r="F240" s="126"/>
      <c r="G240" s="89" t="s">
        <v>134</v>
      </c>
      <c r="H240" s="90">
        <v>1.1000000000000001</v>
      </c>
      <c r="I240" s="91">
        <v>6.9</v>
      </c>
      <c r="J240" s="91">
        <v>7.59</v>
      </c>
    </row>
    <row r="241" spans="1:10" ht="38.25" x14ac:dyDescent="0.2">
      <c r="A241" s="87" t="s">
        <v>781</v>
      </c>
      <c r="B241" s="88" t="s">
        <v>875</v>
      </c>
      <c r="C241" s="87" t="s">
        <v>15</v>
      </c>
      <c r="D241" s="87" t="s">
        <v>876</v>
      </c>
      <c r="E241" s="126" t="s">
        <v>794</v>
      </c>
      <c r="F241" s="126"/>
      <c r="G241" s="89" t="s">
        <v>134</v>
      </c>
      <c r="H241" s="90">
        <v>0.03</v>
      </c>
      <c r="I241" s="91">
        <v>13.7</v>
      </c>
      <c r="J241" s="91">
        <v>0.41</v>
      </c>
    </row>
    <row r="242" spans="1:10" ht="38.25" x14ac:dyDescent="0.2">
      <c r="A242" s="92"/>
      <c r="B242" s="92"/>
      <c r="C242" s="92"/>
      <c r="D242" s="92"/>
      <c r="E242" s="92" t="s">
        <v>801</v>
      </c>
      <c r="F242" s="93">
        <v>2.38</v>
      </c>
      <c r="G242" s="92" t="s">
        <v>802</v>
      </c>
      <c r="H242" s="93">
        <v>0</v>
      </c>
      <c r="I242" s="92" t="s">
        <v>803</v>
      </c>
      <c r="J242" s="93">
        <v>2.38</v>
      </c>
    </row>
    <row r="243" spans="1:10" ht="38.25" x14ac:dyDescent="0.2">
      <c r="A243" s="92"/>
      <c r="B243" s="92"/>
      <c r="C243" s="92"/>
      <c r="D243" s="92"/>
      <c r="E243" s="92" t="s">
        <v>804</v>
      </c>
      <c r="F243" s="93">
        <v>2.99</v>
      </c>
      <c r="G243" s="92"/>
      <c r="H243" s="127" t="s">
        <v>805</v>
      </c>
      <c r="I243" s="127"/>
      <c r="J243" s="93">
        <v>13.37</v>
      </c>
    </row>
    <row r="244" spans="1:10" ht="15" thickBot="1" x14ac:dyDescent="0.25">
      <c r="A244" s="77"/>
      <c r="B244" s="77"/>
      <c r="C244" s="77"/>
      <c r="D244" s="77"/>
      <c r="E244" s="77"/>
      <c r="F244" s="77"/>
      <c r="G244" s="77" t="s">
        <v>806</v>
      </c>
      <c r="H244" s="94">
        <v>153</v>
      </c>
      <c r="I244" s="77" t="s">
        <v>807</v>
      </c>
      <c r="J244" s="78">
        <v>2045.61</v>
      </c>
    </row>
    <row r="245" spans="1:10" ht="15" thickTop="1" x14ac:dyDescent="0.2">
      <c r="A245" s="95"/>
      <c r="B245" s="95"/>
      <c r="C245" s="95"/>
      <c r="D245" s="95"/>
      <c r="E245" s="95"/>
      <c r="F245" s="95"/>
      <c r="G245" s="95"/>
      <c r="H245" s="95"/>
      <c r="I245" s="95"/>
      <c r="J245" s="95"/>
    </row>
    <row r="246" spans="1:10" ht="15" x14ac:dyDescent="0.2">
      <c r="A246" s="75" t="s">
        <v>116</v>
      </c>
      <c r="B246" s="17" t="s">
        <v>11</v>
      </c>
      <c r="C246" s="75" t="s">
        <v>12</v>
      </c>
      <c r="D246" s="75" t="s">
        <v>2</v>
      </c>
      <c r="E246" s="124" t="s">
        <v>779</v>
      </c>
      <c r="F246" s="124"/>
      <c r="G246" s="76" t="s">
        <v>3</v>
      </c>
      <c r="H246" s="17" t="s">
        <v>4</v>
      </c>
      <c r="I246" s="17" t="s">
        <v>13</v>
      </c>
      <c r="J246" s="17" t="s">
        <v>17</v>
      </c>
    </row>
    <row r="247" spans="1:10" ht="25.5" x14ac:dyDescent="0.2">
      <c r="A247" s="19" t="s">
        <v>780</v>
      </c>
      <c r="B247" s="20" t="s">
        <v>113</v>
      </c>
      <c r="C247" s="19" t="s">
        <v>15</v>
      </c>
      <c r="D247" s="19" t="s">
        <v>114</v>
      </c>
      <c r="E247" s="125">
        <v>1.23</v>
      </c>
      <c r="F247" s="125"/>
      <c r="G247" s="21" t="s">
        <v>115</v>
      </c>
      <c r="H247" s="86">
        <v>1</v>
      </c>
      <c r="I247" s="82">
        <v>250.87</v>
      </c>
      <c r="J247" s="82">
        <v>250.87</v>
      </c>
    </row>
    <row r="248" spans="1:10" ht="38.25" x14ac:dyDescent="0.2">
      <c r="A248" s="87" t="s">
        <v>781</v>
      </c>
      <c r="B248" s="88" t="s">
        <v>877</v>
      </c>
      <c r="C248" s="87" t="s">
        <v>15</v>
      </c>
      <c r="D248" s="87" t="s">
        <v>878</v>
      </c>
      <c r="E248" s="126" t="s">
        <v>794</v>
      </c>
      <c r="F248" s="126"/>
      <c r="G248" s="89" t="s">
        <v>115</v>
      </c>
      <c r="H248" s="90">
        <v>1</v>
      </c>
      <c r="I248" s="91">
        <v>250.87</v>
      </c>
      <c r="J248" s="91">
        <v>250.87</v>
      </c>
    </row>
    <row r="249" spans="1:10" ht="38.25" x14ac:dyDescent="0.2">
      <c r="A249" s="92"/>
      <c r="B249" s="92"/>
      <c r="C249" s="92"/>
      <c r="D249" s="92"/>
      <c r="E249" s="92" t="s">
        <v>801</v>
      </c>
      <c r="F249" s="93">
        <v>0</v>
      </c>
      <c r="G249" s="92" t="s">
        <v>802</v>
      </c>
      <c r="H249" s="93">
        <v>0</v>
      </c>
      <c r="I249" s="92" t="s">
        <v>803</v>
      </c>
      <c r="J249" s="93">
        <v>0</v>
      </c>
    </row>
    <row r="250" spans="1:10" ht="38.25" x14ac:dyDescent="0.2">
      <c r="A250" s="92"/>
      <c r="B250" s="92"/>
      <c r="C250" s="92"/>
      <c r="D250" s="92"/>
      <c r="E250" s="92" t="s">
        <v>804</v>
      </c>
      <c r="F250" s="93">
        <v>72.3</v>
      </c>
      <c r="G250" s="92"/>
      <c r="H250" s="127" t="s">
        <v>805</v>
      </c>
      <c r="I250" s="127"/>
      <c r="J250" s="93">
        <v>323.17</v>
      </c>
    </row>
    <row r="251" spans="1:10" ht="15" thickBot="1" x14ac:dyDescent="0.25">
      <c r="A251" s="77"/>
      <c r="B251" s="77"/>
      <c r="C251" s="77"/>
      <c r="D251" s="77"/>
      <c r="E251" s="77"/>
      <c r="F251" s="77"/>
      <c r="G251" s="77" t="s">
        <v>806</v>
      </c>
      <c r="H251" s="94">
        <v>1</v>
      </c>
      <c r="I251" s="77" t="s">
        <v>807</v>
      </c>
      <c r="J251" s="78">
        <v>323.17</v>
      </c>
    </row>
    <row r="252" spans="1:10" ht="15" thickTop="1" x14ac:dyDescent="0.2">
      <c r="A252" s="95"/>
      <c r="B252" s="95"/>
      <c r="C252" s="95"/>
      <c r="D252" s="95"/>
      <c r="E252" s="95"/>
      <c r="F252" s="95"/>
      <c r="G252" s="95"/>
      <c r="H252" s="95"/>
      <c r="I252" s="95"/>
      <c r="J252" s="95"/>
    </row>
    <row r="253" spans="1:10" ht="15" x14ac:dyDescent="0.2">
      <c r="A253" s="75" t="s">
        <v>659</v>
      </c>
      <c r="B253" s="17" t="s">
        <v>11</v>
      </c>
      <c r="C253" s="75" t="s">
        <v>12</v>
      </c>
      <c r="D253" s="75" t="s">
        <v>2</v>
      </c>
      <c r="E253" s="124" t="s">
        <v>779</v>
      </c>
      <c r="F253" s="124"/>
      <c r="G253" s="76" t="s">
        <v>3</v>
      </c>
      <c r="H253" s="17" t="s">
        <v>4</v>
      </c>
      <c r="I253" s="17" t="s">
        <v>13</v>
      </c>
      <c r="J253" s="17" t="s">
        <v>17</v>
      </c>
    </row>
    <row r="254" spans="1:10" ht="25.5" x14ac:dyDescent="0.2">
      <c r="A254" s="19" t="s">
        <v>780</v>
      </c>
      <c r="B254" s="20" t="s">
        <v>83</v>
      </c>
      <c r="C254" s="19" t="s">
        <v>15</v>
      </c>
      <c r="D254" s="19" t="s">
        <v>84</v>
      </c>
      <c r="E254" s="125">
        <v>5.07</v>
      </c>
      <c r="F254" s="125"/>
      <c r="G254" s="21" t="s">
        <v>50</v>
      </c>
      <c r="H254" s="86">
        <v>1</v>
      </c>
      <c r="I254" s="82">
        <v>125.5</v>
      </c>
      <c r="J254" s="82">
        <v>125.5</v>
      </c>
    </row>
    <row r="255" spans="1:10" ht="38.25" x14ac:dyDescent="0.2">
      <c r="A255" s="87" t="s">
        <v>781</v>
      </c>
      <c r="B255" s="88" t="s">
        <v>846</v>
      </c>
      <c r="C255" s="87" t="s">
        <v>15</v>
      </c>
      <c r="D255" s="87" t="s">
        <v>847</v>
      </c>
      <c r="E255" s="126" t="s">
        <v>794</v>
      </c>
      <c r="F255" s="126"/>
      <c r="G255" s="89" t="s">
        <v>50</v>
      </c>
      <c r="H255" s="90">
        <v>1</v>
      </c>
      <c r="I255" s="91">
        <v>114.36</v>
      </c>
      <c r="J255" s="91">
        <v>114.36</v>
      </c>
    </row>
    <row r="256" spans="1:10" ht="38.25" x14ac:dyDescent="0.2">
      <c r="A256" s="87" t="s">
        <v>781</v>
      </c>
      <c r="B256" s="88" t="s">
        <v>816</v>
      </c>
      <c r="C256" s="87" t="s">
        <v>15</v>
      </c>
      <c r="D256" s="87" t="s">
        <v>817</v>
      </c>
      <c r="E256" s="126" t="s">
        <v>784</v>
      </c>
      <c r="F256" s="126"/>
      <c r="G256" s="89" t="s">
        <v>785</v>
      </c>
      <c r="H256" s="90">
        <v>0.6</v>
      </c>
      <c r="I256" s="91">
        <v>18.57</v>
      </c>
      <c r="J256" s="91">
        <v>11.14</v>
      </c>
    </row>
    <row r="257" spans="1:10" ht="38.25" x14ac:dyDescent="0.2">
      <c r="A257" s="92"/>
      <c r="B257" s="92"/>
      <c r="C257" s="92"/>
      <c r="D257" s="92"/>
      <c r="E257" s="92" t="s">
        <v>801</v>
      </c>
      <c r="F257" s="93">
        <v>11.14</v>
      </c>
      <c r="G257" s="92" t="s">
        <v>802</v>
      </c>
      <c r="H257" s="93">
        <v>0</v>
      </c>
      <c r="I257" s="92" t="s">
        <v>803</v>
      </c>
      <c r="J257" s="93">
        <v>11.14</v>
      </c>
    </row>
    <row r="258" spans="1:10" ht="38.25" x14ac:dyDescent="0.2">
      <c r="A258" s="92"/>
      <c r="B258" s="92"/>
      <c r="C258" s="92"/>
      <c r="D258" s="92"/>
      <c r="E258" s="92" t="s">
        <v>804</v>
      </c>
      <c r="F258" s="93">
        <v>36.159999999999997</v>
      </c>
      <c r="G258" s="92"/>
      <c r="H258" s="127" t="s">
        <v>805</v>
      </c>
      <c r="I258" s="127"/>
      <c r="J258" s="93">
        <v>161.66</v>
      </c>
    </row>
    <row r="259" spans="1:10" ht="15" thickBot="1" x14ac:dyDescent="0.25">
      <c r="A259" s="77"/>
      <c r="B259" s="77"/>
      <c r="C259" s="77"/>
      <c r="D259" s="77"/>
      <c r="E259" s="77"/>
      <c r="F259" s="77"/>
      <c r="G259" s="77" t="s">
        <v>806</v>
      </c>
      <c r="H259" s="94">
        <v>5.42</v>
      </c>
      <c r="I259" s="77" t="s">
        <v>807</v>
      </c>
      <c r="J259" s="78">
        <v>876.19</v>
      </c>
    </row>
    <row r="260" spans="1:10" ht="15" thickTop="1" x14ac:dyDescent="0.2">
      <c r="A260" s="95"/>
      <c r="B260" s="95"/>
      <c r="C260" s="95"/>
      <c r="D260" s="95"/>
      <c r="E260" s="95"/>
      <c r="F260" s="95"/>
      <c r="G260" s="95"/>
      <c r="H260" s="95"/>
      <c r="I260" s="95"/>
      <c r="J260" s="95"/>
    </row>
    <row r="261" spans="1:10" x14ac:dyDescent="0.2">
      <c r="A261" s="18" t="s">
        <v>117</v>
      </c>
      <c r="B261" s="18"/>
      <c r="C261" s="18"/>
      <c r="D261" s="18" t="s">
        <v>118</v>
      </c>
      <c r="E261" s="18"/>
      <c r="F261" s="122"/>
      <c r="G261" s="122"/>
      <c r="H261" s="39"/>
      <c r="I261" s="18"/>
      <c r="J261" s="80">
        <v>9406.09</v>
      </c>
    </row>
    <row r="262" spans="1:10" ht="15" x14ac:dyDescent="0.2">
      <c r="A262" s="75" t="s">
        <v>119</v>
      </c>
      <c r="B262" s="17" t="s">
        <v>11</v>
      </c>
      <c r="C262" s="75" t="s">
        <v>12</v>
      </c>
      <c r="D262" s="75" t="s">
        <v>2</v>
      </c>
      <c r="E262" s="124" t="s">
        <v>779</v>
      </c>
      <c r="F262" s="124"/>
      <c r="G262" s="76" t="s">
        <v>3</v>
      </c>
      <c r="H262" s="17" t="s">
        <v>4</v>
      </c>
      <c r="I262" s="17" t="s">
        <v>13</v>
      </c>
      <c r="J262" s="17" t="s">
        <v>17</v>
      </c>
    </row>
    <row r="263" spans="1:10" ht="25.5" x14ac:dyDescent="0.2">
      <c r="A263" s="19" t="s">
        <v>780</v>
      </c>
      <c r="B263" s="20" t="s">
        <v>120</v>
      </c>
      <c r="C263" s="19" t="s">
        <v>15</v>
      </c>
      <c r="D263" s="19" t="s">
        <v>121</v>
      </c>
      <c r="E263" s="125">
        <v>6.01</v>
      </c>
      <c r="F263" s="125"/>
      <c r="G263" s="21" t="s">
        <v>50</v>
      </c>
      <c r="H263" s="86">
        <v>1</v>
      </c>
      <c r="I263" s="82">
        <v>46.42</v>
      </c>
      <c r="J263" s="82">
        <v>46.42</v>
      </c>
    </row>
    <row r="264" spans="1:10" ht="38.25" x14ac:dyDescent="0.2">
      <c r="A264" s="87" t="s">
        <v>781</v>
      </c>
      <c r="B264" s="88" t="s">
        <v>816</v>
      </c>
      <c r="C264" s="87" t="s">
        <v>15</v>
      </c>
      <c r="D264" s="87" t="s">
        <v>817</v>
      </c>
      <c r="E264" s="126" t="s">
        <v>784</v>
      </c>
      <c r="F264" s="126"/>
      <c r="G264" s="89" t="s">
        <v>785</v>
      </c>
      <c r="H264" s="90">
        <v>2.5</v>
      </c>
      <c r="I264" s="91">
        <v>18.57</v>
      </c>
      <c r="J264" s="91">
        <v>46.42</v>
      </c>
    </row>
    <row r="265" spans="1:10" ht="38.25" x14ac:dyDescent="0.2">
      <c r="A265" s="92"/>
      <c r="B265" s="92"/>
      <c r="C265" s="92"/>
      <c r="D265" s="92"/>
      <c r="E265" s="92" t="s">
        <v>801</v>
      </c>
      <c r="F265" s="93">
        <v>46.42</v>
      </c>
      <c r="G265" s="92" t="s">
        <v>802</v>
      </c>
      <c r="H265" s="93">
        <v>0</v>
      </c>
      <c r="I265" s="92" t="s">
        <v>803</v>
      </c>
      <c r="J265" s="93">
        <v>46.42</v>
      </c>
    </row>
    <row r="266" spans="1:10" ht="38.25" x14ac:dyDescent="0.2">
      <c r="A266" s="92"/>
      <c r="B266" s="92"/>
      <c r="C266" s="92"/>
      <c r="D266" s="92"/>
      <c r="E266" s="92" t="s">
        <v>804</v>
      </c>
      <c r="F266" s="93">
        <v>13.37</v>
      </c>
      <c r="G266" s="92"/>
      <c r="H266" s="127" t="s">
        <v>805</v>
      </c>
      <c r="I266" s="127"/>
      <c r="J266" s="93">
        <v>59.79</v>
      </c>
    </row>
    <row r="267" spans="1:10" ht="15" thickBot="1" x14ac:dyDescent="0.25">
      <c r="A267" s="77"/>
      <c r="B267" s="77"/>
      <c r="C267" s="77"/>
      <c r="D267" s="77"/>
      <c r="E267" s="77"/>
      <c r="F267" s="77"/>
      <c r="G267" s="77" t="s">
        <v>806</v>
      </c>
      <c r="H267" s="94">
        <v>12.59</v>
      </c>
      <c r="I267" s="77" t="s">
        <v>807</v>
      </c>
      <c r="J267" s="78">
        <v>752.75</v>
      </c>
    </row>
    <row r="268" spans="1:10" ht="15" thickTop="1" x14ac:dyDescent="0.2">
      <c r="A268" s="95"/>
      <c r="B268" s="95"/>
      <c r="C268" s="95"/>
      <c r="D268" s="95"/>
      <c r="E268" s="95"/>
      <c r="F268" s="95"/>
      <c r="G268" s="95"/>
      <c r="H268" s="95"/>
      <c r="I268" s="95"/>
      <c r="J268" s="95"/>
    </row>
    <row r="269" spans="1:10" ht="15" x14ac:dyDescent="0.2">
      <c r="A269" s="75" t="s">
        <v>122</v>
      </c>
      <c r="B269" s="17" t="s">
        <v>11</v>
      </c>
      <c r="C269" s="75" t="s">
        <v>12</v>
      </c>
      <c r="D269" s="75" t="s">
        <v>2</v>
      </c>
      <c r="E269" s="124" t="s">
        <v>779</v>
      </c>
      <c r="F269" s="124"/>
      <c r="G269" s="76" t="s">
        <v>3</v>
      </c>
      <c r="H269" s="17" t="s">
        <v>4</v>
      </c>
      <c r="I269" s="17" t="s">
        <v>13</v>
      </c>
      <c r="J269" s="17" t="s">
        <v>17</v>
      </c>
    </row>
    <row r="270" spans="1:10" ht="25.5" x14ac:dyDescent="0.2">
      <c r="A270" s="19" t="s">
        <v>780</v>
      </c>
      <c r="B270" s="20" t="s">
        <v>123</v>
      </c>
      <c r="C270" s="19" t="s">
        <v>31</v>
      </c>
      <c r="D270" s="19" t="s">
        <v>124</v>
      </c>
      <c r="E270" s="125" t="s">
        <v>879</v>
      </c>
      <c r="F270" s="125"/>
      <c r="G270" s="21" t="s">
        <v>5</v>
      </c>
      <c r="H270" s="86">
        <v>1</v>
      </c>
      <c r="I270" s="82">
        <v>8.86</v>
      </c>
      <c r="J270" s="82">
        <v>8.86</v>
      </c>
    </row>
    <row r="271" spans="1:10" ht="38.25" x14ac:dyDescent="0.2">
      <c r="A271" s="96" t="s">
        <v>880</v>
      </c>
      <c r="B271" s="97" t="s">
        <v>881</v>
      </c>
      <c r="C271" s="96" t="s">
        <v>31</v>
      </c>
      <c r="D271" s="96" t="s">
        <v>882</v>
      </c>
      <c r="E271" s="128" t="s">
        <v>883</v>
      </c>
      <c r="F271" s="128"/>
      <c r="G271" s="98" t="s">
        <v>884</v>
      </c>
      <c r="H271" s="99">
        <v>3.0000000000000001E-3</v>
      </c>
      <c r="I271" s="100">
        <v>31.06</v>
      </c>
      <c r="J271" s="100">
        <v>0.09</v>
      </c>
    </row>
    <row r="272" spans="1:10" ht="38.25" x14ac:dyDescent="0.2">
      <c r="A272" s="96" t="s">
        <v>880</v>
      </c>
      <c r="B272" s="97" t="s">
        <v>885</v>
      </c>
      <c r="C272" s="96" t="s">
        <v>31</v>
      </c>
      <c r="D272" s="96" t="s">
        <v>886</v>
      </c>
      <c r="E272" s="128" t="s">
        <v>883</v>
      </c>
      <c r="F272" s="128"/>
      <c r="G272" s="98" t="s">
        <v>887</v>
      </c>
      <c r="H272" s="99">
        <v>3.0000000000000001E-3</v>
      </c>
      <c r="I272" s="100">
        <v>38.479999999999997</v>
      </c>
      <c r="J272" s="100">
        <v>0.11</v>
      </c>
    </row>
    <row r="273" spans="1:10" ht="38.25" x14ac:dyDescent="0.2">
      <c r="A273" s="96" t="s">
        <v>880</v>
      </c>
      <c r="B273" s="97" t="s">
        <v>888</v>
      </c>
      <c r="C273" s="96" t="s">
        <v>31</v>
      </c>
      <c r="D273" s="96" t="s">
        <v>889</v>
      </c>
      <c r="E273" s="128" t="s">
        <v>890</v>
      </c>
      <c r="F273" s="128"/>
      <c r="G273" s="98" t="s">
        <v>785</v>
      </c>
      <c r="H273" s="99">
        <v>0.11899999999999999</v>
      </c>
      <c r="I273" s="100">
        <v>31.42</v>
      </c>
      <c r="J273" s="100">
        <v>3.73</v>
      </c>
    </row>
    <row r="274" spans="1:10" ht="38.25" x14ac:dyDescent="0.2">
      <c r="A274" s="96" t="s">
        <v>880</v>
      </c>
      <c r="B274" s="97" t="s">
        <v>891</v>
      </c>
      <c r="C274" s="96" t="s">
        <v>31</v>
      </c>
      <c r="D274" s="96" t="s">
        <v>892</v>
      </c>
      <c r="E274" s="128" t="s">
        <v>890</v>
      </c>
      <c r="F274" s="128"/>
      <c r="G274" s="98" t="s">
        <v>785</v>
      </c>
      <c r="H274" s="99">
        <v>0.17899999999999999</v>
      </c>
      <c r="I274" s="100">
        <v>27.55</v>
      </c>
      <c r="J274" s="100">
        <v>4.93</v>
      </c>
    </row>
    <row r="275" spans="1:10" ht="38.25" x14ac:dyDescent="0.2">
      <c r="A275" s="92"/>
      <c r="B275" s="92"/>
      <c r="C275" s="92"/>
      <c r="D275" s="92"/>
      <c r="E275" s="92" t="s">
        <v>801</v>
      </c>
      <c r="F275" s="93">
        <v>6.13</v>
      </c>
      <c r="G275" s="92" t="s">
        <v>802</v>
      </c>
      <c r="H275" s="93">
        <v>0</v>
      </c>
      <c r="I275" s="92" t="s">
        <v>803</v>
      </c>
      <c r="J275" s="93">
        <v>6.13</v>
      </c>
    </row>
    <row r="276" spans="1:10" ht="38.25" x14ac:dyDescent="0.2">
      <c r="A276" s="92"/>
      <c r="B276" s="92"/>
      <c r="C276" s="92"/>
      <c r="D276" s="92"/>
      <c r="E276" s="92" t="s">
        <v>804</v>
      </c>
      <c r="F276" s="93">
        <v>2.5499999999999998</v>
      </c>
      <c r="G276" s="92"/>
      <c r="H276" s="127" t="s">
        <v>805</v>
      </c>
      <c r="I276" s="127"/>
      <c r="J276" s="93">
        <v>11.41</v>
      </c>
    </row>
    <row r="277" spans="1:10" ht="15" thickBot="1" x14ac:dyDescent="0.25">
      <c r="A277" s="77"/>
      <c r="B277" s="77"/>
      <c r="C277" s="77"/>
      <c r="D277" s="77"/>
      <c r="E277" s="77"/>
      <c r="F277" s="77"/>
      <c r="G277" s="77" t="s">
        <v>806</v>
      </c>
      <c r="H277" s="94">
        <v>12.7</v>
      </c>
      <c r="I277" s="77" t="s">
        <v>807</v>
      </c>
      <c r="J277" s="78">
        <v>144.9</v>
      </c>
    </row>
    <row r="278" spans="1:10" ht="15" thickTop="1" x14ac:dyDescent="0.2">
      <c r="A278" s="95"/>
      <c r="B278" s="95"/>
      <c r="C278" s="95"/>
      <c r="D278" s="95"/>
      <c r="E278" s="95"/>
      <c r="F278" s="95"/>
      <c r="G278" s="95"/>
      <c r="H278" s="95"/>
      <c r="I278" s="95"/>
      <c r="J278" s="95"/>
    </row>
    <row r="279" spans="1:10" ht="15" x14ac:dyDescent="0.2">
      <c r="A279" s="75" t="s">
        <v>125</v>
      </c>
      <c r="B279" s="17" t="s">
        <v>11</v>
      </c>
      <c r="C279" s="75" t="s">
        <v>12</v>
      </c>
      <c r="D279" s="75" t="s">
        <v>2</v>
      </c>
      <c r="E279" s="124" t="s">
        <v>779</v>
      </c>
      <c r="F279" s="124"/>
      <c r="G279" s="76" t="s">
        <v>3</v>
      </c>
      <c r="H279" s="17" t="s">
        <v>4</v>
      </c>
      <c r="I279" s="17" t="s">
        <v>13</v>
      </c>
      <c r="J279" s="17" t="s">
        <v>17</v>
      </c>
    </row>
    <row r="280" spans="1:10" ht="25.5" x14ac:dyDescent="0.2">
      <c r="A280" s="19" t="s">
        <v>780</v>
      </c>
      <c r="B280" s="20" t="s">
        <v>126</v>
      </c>
      <c r="C280" s="19" t="s">
        <v>15</v>
      </c>
      <c r="D280" s="19" t="s">
        <v>127</v>
      </c>
      <c r="E280" s="125">
        <v>9.01</v>
      </c>
      <c r="F280" s="125"/>
      <c r="G280" s="21" t="s">
        <v>5</v>
      </c>
      <c r="H280" s="86">
        <v>1</v>
      </c>
      <c r="I280" s="82">
        <v>98.53</v>
      </c>
      <c r="J280" s="82">
        <v>98.53</v>
      </c>
    </row>
    <row r="281" spans="1:10" ht="38.25" x14ac:dyDescent="0.2">
      <c r="A281" s="87" t="s">
        <v>781</v>
      </c>
      <c r="B281" s="88" t="s">
        <v>782</v>
      </c>
      <c r="C281" s="87" t="s">
        <v>15</v>
      </c>
      <c r="D281" s="87" t="s">
        <v>783</v>
      </c>
      <c r="E281" s="126" t="s">
        <v>784</v>
      </c>
      <c r="F281" s="126"/>
      <c r="G281" s="89" t="s">
        <v>785</v>
      </c>
      <c r="H281" s="90">
        <v>1.3</v>
      </c>
      <c r="I281" s="91">
        <v>18.57</v>
      </c>
      <c r="J281" s="91">
        <v>24.14</v>
      </c>
    </row>
    <row r="282" spans="1:10" ht="38.25" x14ac:dyDescent="0.2">
      <c r="A282" s="87" t="s">
        <v>781</v>
      </c>
      <c r="B282" s="88" t="s">
        <v>790</v>
      </c>
      <c r="C282" s="87" t="s">
        <v>15</v>
      </c>
      <c r="D282" s="87" t="s">
        <v>791</v>
      </c>
      <c r="E282" s="126" t="s">
        <v>784</v>
      </c>
      <c r="F282" s="126"/>
      <c r="G282" s="89" t="s">
        <v>785</v>
      </c>
      <c r="H282" s="90">
        <v>1.3</v>
      </c>
      <c r="I282" s="91">
        <v>22.61</v>
      </c>
      <c r="J282" s="91">
        <v>29.39</v>
      </c>
    </row>
    <row r="283" spans="1:10" ht="38.25" x14ac:dyDescent="0.2">
      <c r="A283" s="87" t="s">
        <v>781</v>
      </c>
      <c r="B283" s="88" t="s">
        <v>893</v>
      </c>
      <c r="C283" s="87" t="s">
        <v>15</v>
      </c>
      <c r="D283" s="87" t="s">
        <v>894</v>
      </c>
      <c r="E283" s="126" t="s">
        <v>794</v>
      </c>
      <c r="F283" s="126"/>
      <c r="G283" s="89" t="s">
        <v>78</v>
      </c>
      <c r="H283" s="90">
        <v>0.5</v>
      </c>
      <c r="I283" s="91">
        <v>7.59</v>
      </c>
      <c r="J283" s="91">
        <v>3.79</v>
      </c>
    </row>
    <row r="284" spans="1:10" ht="38.25" x14ac:dyDescent="0.2">
      <c r="A284" s="87" t="s">
        <v>781</v>
      </c>
      <c r="B284" s="88" t="s">
        <v>818</v>
      </c>
      <c r="C284" s="87" t="s">
        <v>15</v>
      </c>
      <c r="D284" s="87" t="s">
        <v>819</v>
      </c>
      <c r="E284" s="126" t="s">
        <v>794</v>
      </c>
      <c r="F284" s="126"/>
      <c r="G284" s="89" t="s">
        <v>5</v>
      </c>
      <c r="H284" s="90">
        <v>0.3</v>
      </c>
      <c r="I284" s="91">
        <v>112.78</v>
      </c>
      <c r="J284" s="91">
        <v>33.83</v>
      </c>
    </row>
    <row r="285" spans="1:10" ht="38.25" x14ac:dyDescent="0.2">
      <c r="A285" s="87" t="s">
        <v>781</v>
      </c>
      <c r="B285" s="88" t="s">
        <v>795</v>
      </c>
      <c r="C285" s="87" t="s">
        <v>15</v>
      </c>
      <c r="D285" s="87" t="s">
        <v>796</v>
      </c>
      <c r="E285" s="126" t="s">
        <v>794</v>
      </c>
      <c r="F285" s="126"/>
      <c r="G285" s="89" t="s">
        <v>134</v>
      </c>
      <c r="H285" s="90">
        <v>0.15</v>
      </c>
      <c r="I285" s="91">
        <v>11.64</v>
      </c>
      <c r="J285" s="91">
        <v>1.74</v>
      </c>
    </row>
    <row r="286" spans="1:10" ht="38.25" x14ac:dyDescent="0.2">
      <c r="A286" s="87" t="s">
        <v>781</v>
      </c>
      <c r="B286" s="88" t="s">
        <v>895</v>
      </c>
      <c r="C286" s="87" t="s">
        <v>15</v>
      </c>
      <c r="D286" s="87" t="s">
        <v>896</v>
      </c>
      <c r="E286" s="126" t="s">
        <v>794</v>
      </c>
      <c r="F286" s="126"/>
      <c r="G286" s="89" t="s">
        <v>720</v>
      </c>
      <c r="H286" s="90">
        <v>0.4</v>
      </c>
      <c r="I286" s="91">
        <v>14.1</v>
      </c>
      <c r="J286" s="91">
        <v>5.64</v>
      </c>
    </row>
    <row r="287" spans="1:10" ht="38.25" x14ac:dyDescent="0.2">
      <c r="A287" s="92"/>
      <c r="B287" s="92"/>
      <c r="C287" s="92"/>
      <c r="D287" s="92"/>
      <c r="E287" s="92" t="s">
        <v>801</v>
      </c>
      <c r="F287" s="93">
        <v>53.53</v>
      </c>
      <c r="G287" s="92" t="s">
        <v>802</v>
      </c>
      <c r="H287" s="93">
        <v>0</v>
      </c>
      <c r="I287" s="92" t="s">
        <v>803</v>
      </c>
      <c r="J287" s="93">
        <v>53.53</v>
      </c>
    </row>
    <row r="288" spans="1:10" ht="38.25" x14ac:dyDescent="0.2">
      <c r="A288" s="92"/>
      <c r="B288" s="92"/>
      <c r="C288" s="92"/>
      <c r="D288" s="92"/>
      <c r="E288" s="92" t="s">
        <v>804</v>
      </c>
      <c r="F288" s="93">
        <v>28.39</v>
      </c>
      <c r="G288" s="92"/>
      <c r="H288" s="127" t="s">
        <v>805</v>
      </c>
      <c r="I288" s="127"/>
      <c r="J288" s="93">
        <v>126.92</v>
      </c>
    </row>
    <row r="289" spans="1:10" ht="15" thickBot="1" x14ac:dyDescent="0.25">
      <c r="A289" s="77"/>
      <c r="B289" s="77"/>
      <c r="C289" s="77"/>
      <c r="D289" s="77"/>
      <c r="E289" s="77"/>
      <c r="F289" s="77"/>
      <c r="G289" s="77" t="s">
        <v>806</v>
      </c>
      <c r="H289" s="94">
        <v>18.34</v>
      </c>
      <c r="I289" s="77" t="s">
        <v>807</v>
      </c>
      <c r="J289" s="78">
        <v>2327.71</v>
      </c>
    </row>
    <row r="290" spans="1:10" ht="15" thickTop="1" x14ac:dyDescent="0.2">
      <c r="A290" s="95"/>
      <c r="B290" s="95"/>
      <c r="C290" s="95"/>
      <c r="D290" s="95"/>
      <c r="E290" s="95"/>
      <c r="F290" s="95"/>
      <c r="G290" s="95"/>
      <c r="H290" s="95"/>
      <c r="I290" s="95"/>
      <c r="J290" s="95"/>
    </row>
    <row r="291" spans="1:10" ht="15" x14ac:dyDescent="0.2">
      <c r="A291" s="75" t="s">
        <v>128</v>
      </c>
      <c r="B291" s="17" t="s">
        <v>11</v>
      </c>
      <c r="C291" s="75" t="s">
        <v>12</v>
      </c>
      <c r="D291" s="75" t="s">
        <v>2</v>
      </c>
      <c r="E291" s="124" t="s">
        <v>779</v>
      </c>
      <c r="F291" s="124"/>
      <c r="G291" s="76" t="s">
        <v>3</v>
      </c>
      <c r="H291" s="17" t="s">
        <v>4</v>
      </c>
      <c r="I291" s="17" t="s">
        <v>13</v>
      </c>
      <c r="J291" s="17" t="s">
        <v>17</v>
      </c>
    </row>
    <row r="292" spans="1:10" ht="25.5" x14ac:dyDescent="0.2">
      <c r="A292" s="19" t="s">
        <v>780</v>
      </c>
      <c r="B292" s="20" t="s">
        <v>129</v>
      </c>
      <c r="C292" s="19" t="s">
        <v>15</v>
      </c>
      <c r="D292" s="19" t="s">
        <v>130</v>
      </c>
      <c r="E292" s="125">
        <v>11.18</v>
      </c>
      <c r="F292" s="125"/>
      <c r="G292" s="21" t="s">
        <v>50</v>
      </c>
      <c r="H292" s="86">
        <v>1</v>
      </c>
      <c r="I292" s="82">
        <v>204.52</v>
      </c>
      <c r="J292" s="82">
        <v>204.52</v>
      </c>
    </row>
    <row r="293" spans="1:10" ht="38.25" x14ac:dyDescent="0.2">
      <c r="A293" s="87" t="s">
        <v>781</v>
      </c>
      <c r="B293" s="88" t="s">
        <v>816</v>
      </c>
      <c r="C293" s="87" t="s">
        <v>15</v>
      </c>
      <c r="D293" s="87" t="s">
        <v>817</v>
      </c>
      <c r="E293" s="126" t="s">
        <v>784</v>
      </c>
      <c r="F293" s="126"/>
      <c r="G293" s="89" t="s">
        <v>785</v>
      </c>
      <c r="H293" s="90">
        <v>1.5</v>
      </c>
      <c r="I293" s="91">
        <v>18.57</v>
      </c>
      <c r="J293" s="91">
        <v>27.85</v>
      </c>
    </row>
    <row r="294" spans="1:10" ht="38.25" x14ac:dyDescent="0.2">
      <c r="A294" s="87" t="s">
        <v>781</v>
      </c>
      <c r="B294" s="88" t="s">
        <v>897</v>
      </c>
      <c r="C294" s="87" t="s">
        <v>15</v>
      </c>
      <c r="D294" s="87" t="s">
        <v>898</v>
      </c>
      <c r="E294" s="126" t="s">
        <v>794</v>
      </c>
      <c r="F294" s="126"/>
      <c r="G294" s="89" t="s">
        <v>50</v>
      </c>
      <c r="H294" s="90">
        <v>1.2</v>
      </c>
      <c r="I294" s="91">
        <v>147.22999999999999</v>
      </c>
      <c r="J294" s="91">
        <v>176.67</v>
      </c>
    </row>
    <row r="295" spans="1:10" ht="38.25" x14ac:dyDescent="0.2">
      <c r="A295" s="92"/>
      <c r="B295" s="92"/>
      <c r="C295" s="92"/>
      <c r="D295" s="92"/>
      <c r="E295" s="92" t="s">
        <v>801</v>
      </c>
      <c r="F295" s="93">
        <v>27.85</v>
      </c>
      <c r="G295" s="92" t="s">
        <v>802</v>
      </c>
      <c r="H295" s="93">
        <v>0</v>
      </c>
      <c r="I295" s="92" t="s">
        <v>803</v>
      </c>
      <c r="J295" s="93">
        <v>27.85</v>
      </c>
    </row>
    <row r="296" spans="1:10" ht="38.25" x14ac:dyDescent="0.2">
      <c r="A296" s="92"/>
      <c r="B296" s="92"/>
      <c r="C296" s="92"/>
      <c r="D296" s="92"/>
      <c r="E296" s="92" t="s">
        <v>804</v>
      </c>
      <c r="F296" s="93">
        <v>58.94</v>
      </c>
      <c r="G296" s="92"/>
      <c r="H296" s="127" t="s">
        <v>805</v>
      </c>
      <c r="I296" s="127"/>
      <c r="J296" s="93">
        <v>263.45999999999998</v>
      </c>
    </row>
    <row r="297" spans="1:10" ht="15" thickBot="1" x14ac:dyDescent="0.25">
      <c r="A297" s="77"/>
      <c r="B297" s="77"/>
      <c r="C297" s="77"/>
      <c r="D297" s="77"/>
      <c r="E297" s="77"/>
      <c r="F297" s="77"/>
      <c r="G297" s="77" t="s">
        <v>806</v>
      </c>
      <c r="H297" s="94">
        <v>0.63</v>
      </c>
      <c r="I297" s="77" t="s">
        <v>807</v>
      </c>
      <c r="J297" s="78">
        <v>165.97</v>
      </c>
    </row>
    <row r="298" spans="1:10" ht="15" thickTop="1" x14ac:dyDescent="0.2">
      <c r="A298" s="95"/>
      <c r="B298" s="95"/>
      <c r="C298" s="95"/>
      <c r="D298" s="95"/>
      <c r="E298" s="95"/>
      <c r="F298" s="95"/>
      <c r="G298" s="95"/>
      <c r="H298" s="95"/>
      <c r="I298" s="95"/>
      <c r="J298" s="95"/>
    </row>
    <row r="299" spans="1:10" ht="15" x14ac:dyDescent="0.2">
      <c r="A299" s="75" t="s">
        <v>131</v>
      </c>
      <c r="B299" s="17" t="s">
        <v>11</v>
      </c>
      <c r="C299" s="75" t="s">
        <v>12</v>
      </c>
      <c r="D299" s="75" t="s">
        <v>2</v>
      </c>
      <c r="E299" s="124" t="s">
        <v>779</v>
      </c>
      <c r="F299" s="124"/>
      <c r="G299" s="76" t="s">
        <v>3</v>
      </c>
      <c r="H299" s="17" t="s">
        <v>4</v>
      </c>
      <c r="I299" s="17" t="s">
        <v>13</v>
      </c>
      <c r="J299" s="17" t="s">
        <v>17</v>
      </c>
    </row>
    <row r="300" spans="1:10" ht="25.5" x14ac:dyDescent="0.2">
      <c r="A300" s="19" t="s">
        <v>780</v>
      </c>
      <c r="B300" s="20" t="s">
        <v>132</v>
      </c>
      <c r="C300" s="19" t="s">
        <v>15</v>
      </c>
      <c r="D300" s="19" t="s">
        <v>133</v>
      </c>
      <c r="E300" s="125">
        <v>10.01</v>
      </c>
      <c r="F300" s="125"/>
      <c r="G300" s="21" t="s">
        <v>134</v>
      </c>
      <c r="H300" s="86">
        <v>1</v>
      </c>
      <c r="I300" s="82">
        <v>10.38</v>
      </c>
      <c r="J300" s="82">
        <v>10.38</v>
      </c>
    </row>
    <row r="301" spans="1:10" ht="38.25" x14ac:dyDescent="0.2">
      <c r="A301" s="87" t="s">
        <v>781</v>
      </c>
      <c r="B301" s="88" t="s">
        <v>865</v>
      </c>
      <c r="C301" s="87" t="s">
        <v>15</v>
      </c>
      <c r="D301" s="87" t="s">
        <v>866</v>
      </c>
      <c r="E301" s="126" t="s">
        <v>784</v>
      </c>
      <c r="F301" s="126"/>
      <c r="G301" s="89" t="s">
        <v>785</v>
      </c>
      <c r="H301" s="90">
        <v>0.08</v>
      </c>
      <c r="I301" s="91">
        <v>18.57</v>
      </c>
      <c r="J301" s="91">
        <v>1.48</v>
      </c>
    </row>
    <row r="302" spans="1:10" ht="38.25" x14ac:dyDescent="0.2">
      <c r="A302" s="87" t="s">
        <v>781</v>
      </c>
      <c r="B302" s="88" t="s">
        <v>867</v>
      </c>
      <c r="C302" s="87" t="s">
        <v>15</v>
      </c>
      <c r="D302" s="87" t="s">
        <v>868</v>
      </c>
      <c r="E302" s="126" t="s">
        <v>784</v>
      </c>
      <c r="F302" s="126"/>
      <c r="G302" s="89" t="s">
        <v>785</v>
      </c>
      <c r="H302" s="90">
        <v>0.04</v>
      </c>
      <c r="I302" s="91">
        <v>22.61</v>
      </c>
      <c r="J302" s="91">
        <v>0.9</v>
      </c>
    </row>
    <row r="303" spans="1:10" ht="38.25" x14ac:dyDescent="0.2">
      <c r="A303" s="87" t="s">
        <v>781</v>
      </c>
      <c r="B303" s="88" t="s">
        <v>871</v>
      </c>
      <c r="C303" s="87" t="s">
        <v>15</v>
      </c>
      <c r="D303" s="87" t="s">
        <v>872</v>
      </c>
      <c r="E303" s="126" t="s">
        <v>794</v>
      </c>
      <c r="F303" s="126"/>
      <c r="G303" s="89" t="s">
        <v>134</v>
      </c>
      <c r="H303" s="90">
        <v>1.1000000000000001</v>
      </c>
      <c r="I303" s="91">
        <v>6.9</v>
      </c>
      <c r="J303" s="91">
        <v>7.59</v>
      </c>
    </row>
    <row r="304" spans="1:10" ht="38.25" x14ac:dyDescent="0.2">
      <c r="A304" s="87" t="s">
        <v>781</v>
      </c>
      <c r="B304" s="88" t="s">
        <v>875</v>
      </c>
      <c r="C304" s="87" t="s">
        <v>15</v>
      </c>
      <c r="D304" s="87" t="s">
        <v>876</v>
      </c>
      <c r="E304" s="126" t="s">
        <v>794</v>
      </c>
      <c r="F304" s="126"/>
      <c r="G304" s="89" t="s">
        <v>134</v>
      </c>
      <c r="H304" s="90">
        <v>0.03</v>
      </c>
      <c r="I304" s="91">
        <v>13.7</v>
      </c>
      <c r="J304" s="91">
        <v>0.41</v>
      </c>
    </row>
    <row r="305" spans="1:10" ht="38.25" x14ac:dyDescent="0.2">
      <c r="A305" s="92"/>
      <c r="B305" s="92"/>
      <c r="C305" s="92"/>
      <c r="D305" s="92"/>
      <c r="E305" s="92" t="s">
        <v>801</v>
      </c>
      <c r="F305" s="93">
        <v>2.38</v>
      </c>
      <c r="G305" s="92" t="s">
        <v>802</v>
      </c>
      <c r="H305" s="93">
        <v>0</v>
      </c>
      <c r="I305" s="92" t="s">
        <v>803</v>
      </c>
      <c r="J305" s="93">
        <v>2.38</v>
      </c>
    </row>
    <row r="306" spans="1:10" ht="38.25" x14ac:dyDescent="0.2">
      <c r="A306" s="92"/>
      <c r="B306" s="92"/>
      <c r="C306" s="92"/>
      <c r="D306" s="92"/>
      <c r="E306" s="92" t="s">
        <v>804</v>
      </c>
      <c r="F306" s="93">
        <v>2.99</v>
      </c>
      <c r="G306" s="92"/>
      <c r="H306" s="127" t="s">
        <v>805</v>
      </c>
      <c r="I306" s="127"/>
      <c r="J306" s="93">
        <v>13.37</v>
      </c>
    </row>
    <row r="307" spans="1:10" ht="15" thickBot="1" x14ac:dyDescent="0.25">
      <c r="A307" s="77"/>
      <c r="B307" s="77"/>
      <c r="C307" s="77"/>
      <c r="D307" s="77"/>
      <c r="E307" s="77"/>
      <c r="F307" s="77"/>
      <c r="G307" s="77" t="s">
        <v>806</v>
      </c>
      <c r="H307" s="94">
        <v>92</v>
      </c>
      <c r="I307" s="77" t="s">
        <v>807</v>
      </c>
      <c r="J307" s="78">
        <v>1230.04</v>
      </c>
    </row>
    <row r="308" spans="1:10" ht="15" thickTop="1" x14ac:dyDescent="0.2">
      <c r="A308" s="95"/>
      <c r="B308" s="95"/>
      <c r="C308" s="95"/>
      <c r="D308" s="95"/>
      <c r="E308" s="95"/>
      <c r="F308" s="95"/>
      <c r="G308" s="95"/>
      <c r="H308" s="95"/>
      <c r="I308" s="95"/>
      <c r="J308" s="95"/>
    </row>
    <row r="309" spans="1:10" ht="15" x14ac:dyDescent="0.2">
      <c r="A309" s="75" t="s">
        <v>135</v>
      </c>
      <c r="B309" s="17" t="s">
        <v>11</v>
      </c>
      <c r="C309" s="75" t="s">
        <v>12</v>
      </c>
      <c r="D309" s="75" t="s">
        <v>2</v>
      </c>
      <c r="E309" s="124" t="s">
        <v>779</v>
      </c>
      <c r="F309" s="124"/>
      <c r="G309" s="76" t="s">
        <v>3</v>
      </c>
      <c r="H309" s="17" t="s">
        <v>4</v>
      </c>
      <c r="I309" s="17" t="s">
        <v>13</v>
      </c>
      <c r="J309" s="17" t="s">
        <v>17</v>
      </c>
    </row>
    <row r="310" spans="1:10" ht="25.5" x14ac:dyDescent="0.2">
      <c r="A310" s="19" t="s">
        <v>780</v>
      </c>
      <c r="B310" s="20" t="s">
        <v>136</v>
      </c>
      <c r="C310" s="19" t="s">
        <v>15</v>
      </c>
      <c r="D310" s="19" t="s">
        <v>137</v>
      </c>
      <c r="E310" s="125">
        <v>11.01</v>
      </c>
      <c r="F310" s="125"/>
      <c r="G310" s="21" t="s">
        <v>50</v>
      </c>
      <c r="H310" s="86">
        <v>1</v>
      </c>
      <c r="I310" s="82">
        <v>565.37</v>
      </c>
      <c r="J310" s="82">
        <v>565.37</v>
      </c>
    </row>
    <row r="311" spans="1:10" ht="38.25" x14ac:dyDescent="0.2">
      <c r="A311" s="87" t="s">
        <v>781</v>
      </c>
      <c r="B311" s="88" t="s">
        <v>899</v>
      </c>
      <c r="C311" s="87" t="s">
        <v>15</v>
      </c>
      <c r="D311" s="87" t="s">
        <v>900</v>
      </c>
      <c r="E311" s="126" t="s">
        <v>794</v>
      </c>
      <c r="F311" s="126"/>
      <c r="G311" s="89" t="s">
        <v>50</v>
      </c>
      <c r="H311" s="90">
        <v>1.03</v>
      </c>
      <c r="I311" s="91">
        <v>548.91</v>
      </c>
      <c r="J311" s="91">
        <v>565.37</v>
      </c>
    </row>
    <row r="312" spans="1:10" ht="38.25" x14ac:dyDescent="0.2">
      <c r="A312" s="92"/>
      <c r="B312" s="92"/>
      <c r="C312" s="92"/>
      <c r="D312" s="92"/>
      <c r="E312" s="92" t="s">
        <v>801</v>
      </c>
      <c r="F312" s="93">
        <v>0</v>
      </c>
      <c r="G312" s="92" t="s">
        <v>802</v>
      </c>
      <c r="H312" s="93">
        <v>0</v>
      </c>
      <c r="I312" s="92" t="s">
        <v>803</v>
      </c>
      <c r="J312" s="93">
        <v>0</v>
      </c>
    </row>
    <row r="313" spans="1:10" ht="38.25" x14ac:dyDescent="0.2">
      <c r="A313" s="92"/>
      <c r="B313" s="92"/>
      <c r="C313" s="92"/>
      <c r="D313" s="92"/>
      <c r="E313" s="92" t="s">
        <v>804</v>
      </c>
      <c r="F313" s="93">
        <v>162.93</v>
      </c>
      <c r="G313" s="92"/>
      <c r="H313" s="127" t="s">
        <v>805</v>
      </c>
      <c r="I313" s="127"/>
      <c r="J313" s="93">
        <v>728.3</v>
      </c>
    </row>
    <row r="314" spans="1:10" ht="15" thickBot="1" x14ac:dyDescent="0.25">
      <c r="A314" s="77"/>
      <c r="B314" s="77"/>
      <c r="C314" s="77"/>
      <c r="D314" s="77"/>
      <c r="E314" s="77"/>
      <c r="F314" s="77"/>
      <c r="G314" s="77" t="s">
        <v>806</v>
      </c>
      <c r="H314" s="94">
        <v>2.64</v>
      </c>
      <c r="I314" s="77" t="s">
        <v>807</v>
      </c>
      <c r="J314" s="78">
        <v>1922.71</v>
      </c>
    </row>
    <row r="315" spans="1:10" ht="15" thickTop="1" x14ac:dyDescent="0.2">
      <c r="A315" s="95"/>
      <c r="B315" s="95"/>
      <c r="C315" s="95"/>
      <c r="D315" s="95"/>
      <c r="E315" s="95"/>
      <c r="F315" s="95"/>
      <c r="G315" s="95"/>
      <c r="H315" s="95"/>
      <c r="I315" s="95"/>
      <c r="J315" s="95"/>
    </row>
    <row r="316" spans="1:10" ht="15" x14ac:dyDescent="0.2">
      <c r="A316" s="75" t="s">
        <v>138</v>
      </c>
      <c r="B316" s="17" t="s">
        <v>11</v>
      </c>
      <c r="C316" s="75" t="s">
        <v>12</v>
      </c>
      <c r="D316" s="75" t="s">
        <v>2</v>
      </c>
      <c r="E316" s="124" t="s">
        <v>779</v>
      </c>
      <c r="F316" s="124"/>
      <c r="G316" s="76" t="s">
        <v>3</v>
      </c>
      <c r="H316" s="17" t="s">
        <v>4</v>
      </c>
      <c r="I316" s="17" t="s">
        <v>13</v>
      </c>
      <c r="J316" s="17" t="s">
        <v>17</v>
      </c>
    </row>
    <row r="317" spans="1:10" ht="25.5" x14ac:dyDescent="0.2">
      <c r="A317" s="19" t="s">
        <v>780</v>
      </c>
      <c r="B317" s="20" t="s">
        <v>139</v>
      </c>
      <c r="C317" s="19" t="s">
        <v>15</v>
      </c>
      <c r="D317" s="19" t="s">
        <v>140</v>
      </c>
      <c r="E317" s="125">
        <v>11.16</v>
      </c>
      <c r="F317" s="125"/>
      <c r="G317" s="21" t="s">
        <v>50</v>
      </c>
      <c r="H317" s="86">
        <v>1</v>
      </c>
      <c r="I317" s="82">
        <v>156.63999999999999</v>
      </c>
      <c r="J317" s="82">
        <v>156.63999999999999</v>
      </c>
    </row>
    <row r="318" spans="1:10" ht="38.25" x14ac:dyDescent="0.2">
      <c r="A318" s="87" t="s">
        <v>781</v>
      </c>
      <c r="B318" s="88" t="s">
        <v>832</v>
      </c>
      <c r="C318" s="87" t="s">
        <v>15</v>
      </c>
      <c r="D318" s="87" t="s">
        <v>833</v>
      </c>
      <c r="E318" s="126" t="s">
        <v>784</v>
      </c>
      <c r="F318" s="126"/>
      <c r="G318" s="89" t="s">
        <v>785</v>
      </c>
      <c r="H318" s="90">
        <v>2</v>
      </c>
      <c r="I318" s="91">
        <v>22.61</v>
      </c>
      <c r="J318" s="91">
        <v>45.22</v>
      </c>
    </row>
    <row r="319" spans="1:10" ht="38.25" x14ac:dyDescent="0.2">
      <c r="A319" s="87" t="s">
        <v>781</v>
      </c>
      <c r="B319" s="88" t="s">
        <v>816</v>
      </c>
      <c r="C319" s="87" t="s">
        <v>15</v>
      </c>
      <c r="D319" s="87" t="s">
        <v>817</v>
      </c>
      <c r="E319" s="126" t="s">
        <v>784</v>
      </c>
      <c r="F319" s="126"/>
      <c r="G319" s="89" t="s">
        <v>785</v>
      </c>
      <c r="H319" s="90">
        <v>6</v>
      </c>
      <c r="I319" s="91">
        <v>18.57</v>
      </c>
      <c r="J319" s="91">
        <v>111.42</v>
      </c>
    </row>
    <row r="320" spans="1:10" ht="38.25" x14ac:dyDescent="0.2">
      <c r="A320" s="92"/>
      <c r="B320" s="92"/>
      <c r="C320" s="92"/>
      <c r="D320" s="92"/>
      <c r="E320" s="92" t="s">
        <v>801</v>
      </c>
      <c r="F320" s="93">
        <v>156.63999999999999</v>
      </c>
      <c r="G320" s="92" t="s">
        <v>802</v>
      </c>
      <c r="H320" s="93">
        <v>0</v>
      </c>
      <c r="I320" s="92" t="s">
        <v>803</v>
      </c>
      <c r="J320" s="93">
        <v>156.63999999999999</v>
      </c>
    </row>
    <row r="321" spans="1:10" ht="38.25" x14ac:dyDescent="0.2">
      <c r="A321" s="92"/>
      <c r="B321" s="92"/>
      <c r="C321" s="92"/>
      <c r="D321" s="92"/>
      <c r="E321" s="92" t="s">
        <v>804</v>
      </c>
      <c r="F321" s="93">
        <v>45.14</v>
      </c>
      <c r="G321" s="92"/>
      <c r="H321" s="127" t="s">
        <v>805</v>
      </c>
      <c r="I321" s="127"/>
      <c r="J321" s="93">
        <v>201.78</v>
      </c>
    </row>
    <row r="322" spans="1:10" ht="15" thickBot="1" x14ac:dyDescent="0.25">
      <c r="A322" s="77"/>
      <c r="B322" s="77"/>
      <c r="C322" s="77"/>
      <c r="D322" s="77"/>
      <c r="E322" s="77"/>
      <c r="F322" s="77"/>
      <c r="G322" s="77" t="s">
        <v>806</v>
      </c>
      <c r="H322" s="94">
        <v>2.64</v>
      </c>
      <c r="I322" s="77" t="s">
        <v>807</v>
      </c>
      <c r="J322" s="78">
        <v>532.69000000000005</v>
      </c>
    </row>
    <row r="323" spans="1:10" ht="15" thickTop="1" x14ac:dyDescent="0.2">
      <c r="A323" s="95"/>
      <c r="B323" s="95"/>
      <c r="C323" s="95"/>
      <c r="D323" s="95"/>
      <c r="E323" s="95"/>
      <c r="F323" s="95"/>
      <c r="G323" s="95"/>
      <c r="H323" s="95"/>
      <c r="I323" s="95"/>
      <c r="J323" s="95"/>
    </row>
    <row r="324" spans="1:10" ht="15" x14ac:dyDescent="0.2">
      <c r="A324" s="75" t="s">
        <v>141</v>
      </c>
      <c r="B324" s="17" t="s">
        <v>11</v>
      </c>
      <c r="C324" s="75" t="s">
        <v>12</v>
      </c>
      <c r="D324" s="75" t="s">
        <v>2</v>
      </c>
      <c r="E324" s="124" t="s">
        <v>779</v>
      </c>
      <c r="F324" s="124"/>
      <c r="G324" s="76" t="s">
        <v>3</v>
      </c>
      <c r="H324" s="17" t="s">
        <v>4</v>
      </c>
      <c r="I324" s="17" t="s">
        <v>13</v>
      </c>
      <c r="J324" s="17" t="s">
        <v>17</v>
      </c>
    </row>
    <row r="325" spans="1:10" ht="25.5" x14ac:dyDescent="0.2">
      <c r="A325" s="19" t="s">
        <v>780</v>
      </c>
      <c r="B325" s="20" t="s">
        <v>142</v>
      </c>
      <c r="C325" s="19" t="s">
        <v>15</v>
      </c>
      <c r="D325" s="19" t="s">
        <v>143</v>
      </c>
      <c r="E325" s="125">
        <v>32.15</v>
      </c>
      <c r="F325" s="125"/>
      <c r="G325" s="21" t="s">
        <v>5</v>
      </c>
      <c r="H325" s="86">
        <v>1</v>
      </c>
      <c r="I325" s="82">
        <v>82.88</v>
      </c>
      <c r="J325" s="82">
        <v>82.88</v>
      </c>
    </row>
    <row r="326" spans="1:10" ht="38.25" x14ac:dyDescent="0.2">
      <c r="A326" s="87" t="s">
        <v>781</v>
      </c>
      <c r="B326" s="88" t="s">
        <v>832</v>
      </c>
      <c r="C326" s="87" t="s">
        <v>15</v>
      </c>
      <c r="D326" s="87" t="s">
        <v>833</v>
      </c>
      <c r="E326" s="126" t="s">
        <v>784</v>
      </c>
      <c r="F326" s="126"/>
      <c r="G326" s="89" t="s">
        <v>785</v>
      </c>
      <c r="H326" s="90">
        <v>0.3</v>
      </c>
      <c r="I326" s="91">
        <v>22.61</v>
      </c>
      <c r="J326" s="91">
        <v>6.78</v>
      </c>
    </row>
    <row r="327" spans="1:10" ht="38.25" x14ac:dyDescent="0.2">
      <c r="A327" s="87" t="s">
        <v>781</v>
      </c>
      <c r="B327" s="88" t="s">
        <v>816</v>
      </c>
      <c r="C327" s="87" t="s">
        <v>15</v>
      </c>
      <c r="D327" s="87" t="s">
        <v>817</v>
      </c>
      <c r="E327" s="126" t="s">
        <v>784</v>
      </c>
      <c r="F327" s="126"/>
      <c r="G327" s="89" t="s">
        <v>785</v>
      </c>
      <c r="H327" s="90">
        <v>0.6</v>
      </c>
      <c r="I327" s="91">
        <v>18.57</v>
      </c>
      <c r="J327" s="91">
        <v>11.14</v>
      </c>
    </row>
    <row r="328" spans="1:10" ht="38.25" x14ac:dyDescent="0.2">
      <c r="A328" s="87" t="s">
        <v>781</v>
      </c>
      <c r="B328" s="88" t="s">
        <v>901</v>
      </c>
      <c r="C328" s="87" t="s">
        <v>15</v>
      </c>
      <c r="D328" s="87" t="s">
        <v>902</v>
      </c>
      <c r="E328" s="126" t="s">
        <v>794</v>
      </c>
      <c r="F328" s="126"/>
      <c r="G328" s="89" t="s">
        <v>5</v>
      </c>
      <c r="H328" s="90">
        <v>1.1499999999999999</v>
      </c>
      <c r="I328" s="91">
        <v>48.96</v>
      </c>
      <c r="J328" s="91">
        <v>56.3</v>
      </c>
    </row>
    <row r="329" spans="1:10" ht="38.25" x14ac:dyDescent="0.2">
      <c r="A329" s="87" t="s">
        <v>781</v>
      </c>
      <c r="B329" s="88" t="s">
        <v>903</v>
      </c>
      <c r="C329" s="87" t="s">
        <v>15</v>
      </c>
      <c r="D329" s="87" t="s">
        <v>904</v>
      </c>
      <c r="E329" s="126" t="s">
        <v>794</v>
      </c>
      <c r="F329" s="126"/>
      <c r="G329" s="89" t="s">
        <v>720</v>
      </c>
      <c r="H329" s="90">
        <v>0.4</v>
      </c>
      <c r="I329" s="91">
        <v>21.67</v>
      </c>
      <c r="J329" s="91">
        <v>8.66</v>
      </c>
    </row>
    <row r="330" spans="1:10" ht="38.25" x14ac:dyDescent="0.2">
      <c r="A330" s="92"/>
      <c r="B330" s="92"/>
      <c r="C330" s="92"/>
      <c r="D330" s="92"/>
      <c r="E330" s="92" t="s">
        <v>801</v>
      </c>
      <c r="F330" s="93">
        <v>17.920000000000002</v>
      </c>
      <c r="G330" s="92" t="s">
        <v>802</v>
      </c>
      <c r="H330" s="93">
        <v>0</v>
      </c>
      <c r="I330" s="92" t="s">
        <v>803</v>
      </c>
      <c r="J330" s="93">
        <v>17.920000000000002</v>
      </c>
    </row>
    <row r="331" spans="1:10" ht="38.25" x14ac:dyDescent="0.2">
      <c r="A331" s="92"/>
      <c r="B331" s="92"/>
      <c r="C331" s="92"/>
      <c r="D331" s="92"/>
      <c r="E331" s="92" t="s">
        <v>804</v>
      </c>
      <c r="F331" s="93">
        <v>23.88</v>
      </c>
      <c r="G331" s="92"/>
      <c r="H331" s="127" t="s">
        <v>805</v>
      </c>
      <c r="I331" s="127"/>
      <c r="J331" s="93">
        <v>106.76</v>
      </c>
    </row>
    <row r="332" spans="1:10" ht="15" thickBot="1" x14ac:dyDescent="0.25">
      <c r="A332" s="77"/>
      <c r="B332" s="77"/>
      <c r="C332" s="77"/>
      <c r="D332" s="77"/>
      <c r="E332" s="77"/>
      <c r="F332" s="77"/>
      <c r="G332" s="77" t="s">
        <v>806</v>
      </c>
      <c r="H332" s="94">
        <v>15.33</v>
      </c>
      <c r="I332" s="77" t="s">
        <v>807</v>
      </c>
      <c r="J332" s="78">
        <v>1636.63</v>
      </c>
    </row>
    <row r="333" spans="1:10" ht="15" thickTop="1" x14ac:dyDescent="0.2">
      <c r="A333" s="95"/>
      <c r="B333" s="95"/>
      <c r="C333" s="95"/>
      <c r="D333" s="95"/>
      <c r="E333" s="95"/>
      <c r="F333" s="95"/>
      <c r="G333" s="95"/>
      <c r="H333" s="95"/>
      <c r="I333" s="95"/>
      <c r="J333" s="95"/>
    </row>
    <row r="334" spans="1:10" ht="15" x14ac:dyDescent="0.2">
      <c r="A334" s="75" t="s">
        <v>144</v>
      </c>
      <c r="B334" s="17" t="s">
        <v>11</v>
      </c>
      <c r="C334" s="75" t="s">
        <v>12</v>
      </c>
      <c r="D334" s="75" t="s">
        <v>2</v>
      </c>
      <c r="E334" s="124" t="s">
        <v>779</v>
      </c>
      <c r="F334" s="124"/>
      <c r="G334" s="76" t="s">
        <v>3</v>
      </c>
      <c r="H334" s="17" t="s">
        <v>4</v>
      </c>
      <c r="I334" s="17" t="s">
        <v>13</v>
      </c>
      <c r="J334" s="17" t="s">
        <v>17</v>
      </c>
    </row>
    <row r="335" spans="1:10" ht="25.5" x14ac:dyDescent="0.2">
      <c r="A335" s="19" t="s">
        <v>780</v>
      </c>
      <c r="B335" s="20" t="s">
        <v>145</v>
      </c>
      <c r="C335" s="19" t="s">
        <v>15</v>
      </c>
      <c r="D335" s="19" t="s">
        <v>146</v>
      </c>
      <c r="E335" s="125">
        <v>6.11</v>
      </c>
      <c r="F335" s="125"/>
      <c r="G335" s="21" t="s">
        <v>50</v>
      </c>
      <c r="H335" s="86">
        <v>1</v>
      </c>
      <c r="I335" s="82">
        <v>7.98</v>
      </c>
      <c r="J335" s="82">
        <v>7.98</v>
      </c>
    </row>
    <row r="336" spans="1:10" ht="38.25" x14ac:dyDescent="0.2">
      <c r="A336" s="87" t="s">
        <v>781</v>
      </c>
      <c r="B336" s="88" t="s">
        <v>816</v>
      </c>
      <c r="C336" s="87" t="s">
        <v>15</v>
      </c>
      <c r="D336" s="87" t="s">
        <v>817</v>
      </c>
      <c r="E336" s="126" t="s">
        <v>784</v>
      </c>
      <c r="F336" s="126"/>
      <c r="G336" s="89" t="s">
        <v>785</v>
      </c>
      <c r="H336" s="90">
        <v>0.43</v>
      </c>
      <c r="I336" s="91">
        <v>18.57</v>
      </c>
      <c r="J336" s="91">
        <v>7.98</v>
      </c>
    </row>
    <row r="337" spans="1:10" ht="38.25" x14ac:dyDescent="0.2">
      <c r="A337" s="92"/>
      <c r="B337" s="92"/>
      <c r="C337" s="92"/>
      <c r="D337" s="92"/>
      <c r="E337" s="92" t="s">
        <v>801</v>
      </c>
      <c r="F337" s="93">
        <v>7.98</v>
      </c>
      <c r="G337" s="92" t="s">
        <v>802</v>
      </c>
      <c r="H337" s="93">
        <v>0</v>
      </c>
      <c r="I337" s="92" t="s">
        <v>803</v>
      </c>
      <c r="J337" s="93">
        <v>7.98</v>
      </c>
    </row>
    <row r="338" spans="1:10" ht="38.25" x14ac:dyDescent="0.2">
      <c r="A338" s="92"/>
      <c r="B338" s="92"/>
      <c r="C338" s="92"/>
      <c r="D338" s="92"/>
      <c r="E338" s="92" t="s">
        <v>804</v>
      </c>
      <c r="F338" s="93">
        <v>2.29</v>
      </c>
      <c r="G338" s="92"/>
      <c r="H338" s="127" t="s">
        <v>805</v>
      </c>
      <c r="I338" s="127"/>
      <c r="J338" s="93">
        <v>10.27</v>
      </c>
    </row>
    <row r="339" spans="1:10" ht="15" thickBot="1" x14ac:dyDescent="0.25">
      <c r="A339" s="77"/>
      <c r="B339" s="77"/>
      <c r="C339" s="77"/>
      <c r="D339" s="77"/>
      <c r="E339" s="77"/>
      <c r="F339" s="77"/>
      <c r="G339" s="77" t="s">
        <v>806</v>
      </c>
      <c r="H339" s="94">
        <v>9.31</v>
      </c>
      <c r="I339" s="77" t="s">
        <v>807</v>
      </c>
      <c r="J339" s="78">
        <v>95.61</v>
      </c>
    </row>
    <row r="340" spans="1:10" ht="15" thickTop="1" x14ac:dyDescent="0.2">
      <c r="A340" s="95"/>
      <c r="B340" s="95"/>
      <c r="C340" s="95"/>
      <c r="D340" s="95"/>
      <c r="E340" s="95"/>
      <c r="F340" s="95"/>
      <c r="G340" s="95"/>
      <c r="H340" s="95"/>
      <c r="I340" s="95"/>
      <c r="J340" s="95"/>
    </row>
    <row r="341" spans="1:10" ht="15" x14ac:dyDescent="0.2">
      <c r="A341" s="75" t="s">
        <v>147</v>
      </c>
      <c r="B341" s="17" t="s">
        <v>11</v>
      </c>
      <c r="C341" s="75" t="s">
        <v>12</v>
      </c>
      <c r="D341" s="75" t="s">
        <v>2</v>
      </c>
      <c r="E341" s="124" t="s">
        <v>779</v>
      </c>
      <c r="F341" s="124"/>
      <c r="G341" s="76" t="s">
        <v>3</v>
      </c>
      <c r="H341" s="17" t="s">
        <v>4</v>
      </c>
      <c r="I341" s="17" t="s">
        <v>13</v>
      </c>
      <c r="J341" s="17" t="s">
        <v>17</v>
      </c>
    </row>
    <row r="342" spans="1:10" ht="25.5" x14ac:dyDescent="0.2">
      <c r="A342" s="19" t="s">
        <v>780</v>
      </c>
      <c r="B342" s="20" t="s">
        <v>148</v>
      </c>
      <c r="C342" s="19" t="s">
        <v>15</v>
      </c>
      <c r="D342" s="19" t="s">
        <v>149</v>
      </c>
      <c r="E342" s="125">
        <v>5.07</v>
      </c>
      <c r="F342" s="125"/>
      <c r="G342" s="21" t="s">
        <v>50</v>
      </c>
      <c r="H342" s="86">
        <v>1</v>
      </c>
      <c r="I342" s="82">
        <v>108.81</v>
      </c>
      <c r="J342" s="82">
        <v>108.81</v>
      </c>
    </row>
    <row r="343" spans="1:10" ht="38.25" x14ac:dyDescent="0.2">
      <c r="A343" s="87" t="s">
        <v>781</v>
      </c>
      <c r="B343" s="88" t="s">
        <v>905</v>
      </c>
      <c r="C343" s="87" t="s">
        <v>15</v>
      </c>
      <c r="D343" s="87" t="s">
        <v>906</v>
      </c>
      <c r="E343" s="126" t="s">
        <v>794</v>
      </c>
      <c r="F343" s="126"/>
      <c r="G343" s="89" t="s">
        <v>50</v>
      </c>
      <c r="H343" s="90">
        <v>1</v>
      </c>
      <c r="I343" s="91">
        <v>97.67</v>
      </c>
      <c r="J343" s="91">
        <v>97.67</v>
      </c>
    </row>
    <row r="344" spans="1:10" ht="38.25" x14ac:dyDescent="0.2">
      <c r="A344" s="87" t="s">
        <v>781</v>
      </c>
      <c r="B344" s="88" t="s">
        <v>816</v>
      </c>
      <c r="C344" s="87" t="s">
        <v>15</v>
      </c>
      <c r="D344" s="87" t="s">
        <v>817</v>
      </c>
      <c r="E344" s="126" t="s">
        <v>784</v>
      </c>
      <c r="F344" s="126"/>
      <c r="G344" s="89" t="s">
        <v>785</v>
      </c>
      <c r="H344" s="90">
        <v>0.6</v>
      </c>
      <c r="I344" s="91">
        <v>18.57</v>
      </c>
      <c r="J344" s="91">
        <v>11.14</v>
      </c>
    </row>
    <row r="345" spans="1:10" ht="38.25" x14ac:dyDescent="0.2">
      <c r="A345" s="92"/>
      <c r="B345" s="92"/>
      <c r="C345" s="92"/>
      <c r="D345" s="92"/>
      <c r="E345" s="92" t="s">
        <v>801</v>
      </c>
      <c r="F345" s="93">
        <v>11.14</v>
      </c>
      <c r="G345" s="92" t="s">
        <v>802</v>
      </c>
      <c r="H345" s="93">
        <v>0</v>
      </c>
      <c r="I345" s="92" t="s">
        <v>803</v>
      </c>
      <c r="J345" s="93">
        <v>11.14</v>
      </c>
    </row>
    <row r="346" spans="1:10" ht="38.25" x14ac:dyDescent="0.2">
      <c r="A346" s="92"/>
      <c r="B346" s="92"/>
      <c r="C346" s="92"/>
      <c r="D346" s="92"/>
      <c r="E346" s="92" t="s">
        <v>804</v>
      </c>
      <c r="F346" s="93">
        <v>31.35</v>
      </c>
      <c r="G346" s="92"/>
      <c r="H346" s="127" t="s">
        <v>805</v>
      </c>
      <c r="I346" s="127"/>
      <c r="J346" s="93">
        <v>140.16</v>
      </c>
    </row>
    <row r="347" spans="1:10" ht="15" thickBot="1" x14ac:dyDescent="0.25">
      <c r="A347" s="77"/>
      <c r="B347" s="77"/>
      <c r="C347" s="77"/>
      <c r="D347" s="77"/>
      <c r="E347" s="77"/>
      <c r="F347" s="77"/>
      <c r="G347" s="77" t="s">
        <v>806</v>
      </c>
      <c r="H347" s="94">
        <v>4.26</v>
      </c>
      <c r="I347" s="77" t="s">
        <v>807</v>
      </c>
      <c r="J347" s="78">
        <v>597.08000000000004</v>
      </c>
    </row>
    <row r="348" spans="1:10" ht="15" thickTop="1" x14ac:dyDescent="0.2">
      <c r="A348" s="95"/>
      <c r="B348" s="95"/>
      <c r="C348" s="95"/>
      <c r="D348" s="95"/>
      <c r="E348" s="95"/>
      <c r="F348" s="95"/>
      <c r="G348" s="95"/>
      <c r="H348" s="95"/>
      <c r="I348" s="95"/>
      <c r="J348" s="95"/>
    </row>
    <row r="349" spans="1:10" x14ac:dyDescent="0.2">
      <c r="A349" s="18" t="s">
        <v>6</v>
      </c>
      <c r="B349" s="18"/>
      <c r="C349" s="18"/>
      <c r="D349" s="18" t="s">
        <v>150</v>
      </c>
      <c r="E349" s="18"/>
      <c r="F349" s="122"/>
      <c r="G349" s="122"/>
      <c r="H349" s="39"/>
      <c r="I349" s="18"/>
      <c r="J349" s="80">
        <v>36207.43</v>
      </c>
    </row>
    <row r="350" spans="1:10" ht="15" x14ac:dyDescent="0.2">
      <c r="A350" s="75" t="s">
        <v>7</v>
      </c>
      <c r="B350" s="17" t="s">
        <v>11</v>
      </c>
      <c r="C350" s="75" t="s">
        <v>12</v>
      </c>
      <c r="D350" s="75" t="s">
        <v>2</v>
      </c>
      <c r="E350" s="124" t="s">
        <v>779</v>
      </c>
      <c r="F350" s="124"/>
      <c r="G350" s="76" t="s">
        <v>3</v>
      </c>
      <c r="H350" s="17" t="s">
        <v>4</v>
      </c>
      <c r="I350" s="17" t="s">
        <v>13</v>
      </c>
      <c r="J350" s="17" t="s">
        <v>17</v>
      </c>
    </row>
    <row r="351" spans="1:10" ht="25.5" x14ac:dyDescent="0.2">
      <c r="A351" s="19" t="s">
        <v>780</v>
      </c>
      <c r="B351" s="20" t="s">
        <v>152</v>
      </c>
      <c r="C351" s="19" t="s">
        <v>15</v>
      </c>
      <c r="D351" s="19" t="s">
        <v>153</v>
      </c>
      <c r="E351" s="125">
        <v>9.01</v>
      </c>
      <c r="F351" s="125"/>
      <c r="G351" s="21" t="s">
        <v>5</v>
      </c>
      <c r="H351" s="86">
        <v>1</v>
      </c>
      <c r="I351" s="82">
        <v>251.86</v>
      </c>
      <c r="J351" s="82">
        <v>251.86</v>
      </c>
    </row>
    <row r="352" spans="1:10" ht="38.25" x14ac:dyDescent="0.2">
      <c r="A352" s="87" t="s">
        <v>781</v>
      </c>
      <c r="B352" s="88" t="s">
        <v>782</v>
      </c>
      <c r="C352" s="87" t="s">
        <v>15</v>
      </c>
      <c r="D352" s="87" t="s">
        <v>783</v>
      </c>
      <c r="E352" s="126" t="s">
        <v>784</v>
      </c>
      <c r="F352" s="126"/>
      <c r="G352" s="89" t="s">
        <v>785</v>
      </c>
      <c r="H352" s="90">
        <v>1.5</v>
      </c>
      <c r="I352" s="91">
        <v>18.57</v>
      </c>
      <c r="J352" s="91">
        <v>27.85</v>
      </c>
    </row>
    <row r="353" spans="1:10" ht="38.25" x14ac:dyDescent="0.2">
      <c r="A353" s="87" t="s">
        <v>781</v>
      </c>
      <c r="B353" s="88" t="s">
        <v>790</v>
      </c>
      <c r="C353" s="87" t="s">
        <v>15</v>
      </c>
      <c r="D353" s="87" t="s">
        <v>791</v>
      </c>
      <c r="E353" s="126" t="s">
        <v>784</v>
      </c>
      <c r="F353" s="126"/>
      <c r="G353" s="89" t="s">
        <v>785</v>
      </c>
      <c r="H353" s="90">
        <v>1.5</v>
      </c>
      <c r="I353" s="91">
        <v>22.61</v>
      </c>
      <c r="J353" s="91">
        <v>33.909999999999997</v>
      </c>
    </row>
    <row r="354" spans="1:10" ht="38.25" x14ac:dyDescent="0.2">
      <c r="A354" s="87" t="s">
        <v>781</v>
      </c>
      <c r="B354" s="88" t="s">
        <v>792</v>
      </c>
      <c r="C354" s="87" t="s">
        <v>15</v>
      </c>
      <c r="D354" s="87" t="s">
        <v>793</v>
      </c>
      <c r="E354" s="126" t="s">
        <v>794</v>
      </c>
      <c r="F354" s="126"/>
      <c r="G354" s="89" t="s">
        <v>78</v>
      </c>
      <c r="H354" s="90">
        <v>3</v>
      </c>
      <c r="I354" s="91">
        <v>25.9</v>
      </c>
      <c r="J354" s="91">
        <v>77.7</v>
      </c>
    </row>
    <row r="355" spans="1:10" ht="38.25" x14ac:dyDescent="0.2">
      <c r="A355" s="87" t="s">
        <v>781</v>
      </c>
      <c r="B355" s="88" t="s">
        <v>893</v>
      </c>
      <c r="C355" s="87" t="s">
        <v>15</v>
      </c>
      <c r="D355" s="87" t="s">
        <v>894</v>
      </c>
      <c r="E355" s="126" t="s">
        <v>794</v>
      </c>
      <c r="F355" s="126"/>
      <c r="G355" s="89" t="s">
        <v>78</v>
      </c>
      <c r="H355" s="90">
        <v>1.53</v>
      </c>
      <c r="I355" s="91">
        <v>7.59</v>
      </c>
      <c r="J355" s="91">
        <v>11.61</v>
      </c>
    </row>
    <row r="356" spans="1:10" ht="38.25" x14ac:dyDescent="0.2">
      <c r="A356" s="87" t="s">
        <v>781</v>
      </c>
      <c r="B356" s="88" t="s">
        <v>818</v>
      </c>
      <c r="C356" s="87" t="s">
        <v>15</v>
      </c>
      <c r="D356" s="87" t="s">
        <v>819</v>
      </c>
      <c r="E356" s="126" t="s">
        <v>794</v>
      </c>
      <c r="F356" s="126"/>
      <c r="G356" s="89" t="s">
        <v>5</v>
      </c>
      <c r="H356" s="90">
        <v>0.85199999999999998</v>
      </c>
      <c r="I356" s="91">
        <v>112.78</v>
      </c>
      <c r="J356" s="91">
        <v>96.08</v>
      </c>
    </row>
    <row r="357" spans="1:10" ht="38.25" x14ac:dyDescent="0.2">
      <c r="A357" s="87" t="s">
        <v>781</v>
      </c>
      <c r="B357" s="88" t="s">
        <v>795</v>
      </c>
      <c r="C357" s="87" t="s">
        <v>15</v>
      </c>
      <c r="D357" s="87" t="s">
        <v>796</v>
      </c>
      <c r="E357" s="126" t="s">
        <v>794</v>
      </c>
      <c r="F357" s="126"/>
      <c r="G357" s="89" t="s">
        <v>134</v>
      </c>
      <c r="H357" s="90">
        <v>0.2</v>
      </c>
      <c r="I357" s="91">
        <v>11.64</v>
      </c>
      <c r="J357" s="91">
        <v>2.3199999999999998</v>
      </c>
    </row>
    <row r="358" spans="1:10" ht="38.25" x14ac:dyDescent="0.2">
      <c r="A358" s="87" t="s">
        <v>781</v>
      </c>
      <c r="B358" s="88" t="s">
        <v>895</v>
      </c>
      <c r="C358" s="87" t="s">
        <v>15</v>
      </c>
      <c r="D358" s="87" t="s">
        <v>896</v>
      </c>
      <c r="E358" s="126" t="s">
        <v>794</v>
      </c>
      <c r="F358" s="126"/>
      <c r="G358" s="89" t="s">
        <v>720</v>
      </c>
      <c r="H358" s="90">
        <v>0.17</v>
      </c>
      <c r="I358" s="91">
        <v>14.1</v>
      </c>
      <c r="J358" s="91">
        <v>2.39</v>
      </c>
    </row>
    <row r="359" spans="1:10" ht="38.25" x14ac:dyDescent="0.2">
      <c r="A359" s="92"/>
      <c r="B359" s="92"/>
      <c r="C359" s="92"/>
      <c r="D359" s="92"/>
      <c r="E359" s="92" t="s">
        <v>801</v>
      </c>
      <c r="F359" s="93">
        <v>61.76</v>
      </c>
      <c r="G359" s="92" t="s">
        <v>802</v>
      </c>
      <c r="H359" s="93">
        <v>0</v>
      </c>
      <c r="I359" s="92" t="s">
        <v>803</v>
      </c>
      <c r="J359" s="93">
        <v>61.76</v>
      </c>
    </row>
    <row r="360" spans="1:10" ht="38.25" x14ac:dyDescent="0.2">
      <c r="A360" s="92"/>
      <c r="B360" s="92"/>
      <c r="C360" s="92"/>
      <c r="D360" s="92"/>
      <c r="E360" s="92" t="s">
        <v>804</v>
      </c>
      <c r="F360" s="93">
        <v>72.58</v>
      </c>
      <c r="G360" s="92"/>
      <c r="H360" s="127" t="s">
        <v>805</v>
      </c>
      <c r="I360" s="127"/>
      <c r="J360" s="93">
        <v>324.44</v>
      </c>
    </row>
    <row r="361" spans="1:10" ht="15" thickBot="1" x14ac:dyDescent="0.25">
      <c r="A361" s="77"/>
      <c r="B361" s="77"/>
      <c r="C361" s="77"/>
      <c r="D361" s="77"/>
      <c r="E361" s="77"/>
      <c r="F361" s="77"/>
      <c r="G361" s="77" t="s">
        <v>806</v>
      </c>
      <c r="H361" s="94">
        <v>67.099999999999994</v>
      </c>
      <c r="I361" s="77" t="s">
        <v>807</v>
      </c>
      <c r="J361" s="78">
        <v>21769.919999999998</v>
      </c>
    </row>
    <row r="362" spans="1:10" ht="15" thickTop="1" x14ac:dyDescent="0.2">
      <c r="A362" s="95"/>
      <c r="B362" s="95"/>
      <c r="C362" s="95"/>
      <c r="D362" s="95"/>
      <c r="E362" s="95"/>
      <c r="F362" s="95"/>
      <c r="G362" s="95"/>
      <c r="H362" s="95"/>
      <c r="I362" s="95"/>
      <c r="J362" s="95"/>
    </row>
    <row r="363" spans="1:10" ht="15" x14ac:dyDescent="0.2">
      <c r="A363" s="75" t="s">
        <v>151</v>
      </c>
      <c r="B363" s="17" t="s">
        <v>11</v>
      </c>
      <c r="C363" s="75" t="s">
        <v>12</v>
      </c>
      <c r="D363" s="75" t="s">
        <v>2</v>
      </c>
      <c r="E363" s="124" t="s">
        <v>779</v>
      </c>
      <c r="F363" s="124"/>
      <c r="G363" s="76" t="s">
        <v>3</v>
      </c>
      <c r="H363" s="17" t="s">
        <v>4</v>
      </c>
      <c r="I363" s="17" t="s">
        <v>13</v>
      </c>
      <c r="J363" s="17" t="s">
        <v>17</v>
      </c>
    </row>
    <row r="364" spans="1:10" ht="25.5" x14ac:dyDescent="0.2">
      <c r="A364" s="19" t="s">
        <v>780</v>
      </c>
      <c r="B364" s="20" t="s">
        <v>132</v>
      </c>
      <c r="C364" s="19" t="s">
        <v>15</v>
      </c>
      <c r="D364" s="19" t="s">
        <v>133</v>
      </c>
      <c r="E364" s="125">
        <v>10.01</v>
      </c>
      <c r="F364" s="125"/>
      <c r="G364" s="21" t="s">
        <v>134</v>
      </c>
      <c r="H364" s="86">
        <v>1</v>
      </c>
      <c r="I364" s="82">
        <v>10.38</v>
      </c>
      <c r="J364" s="82">
        <v>10.38</v>
      </c>
    </row>
    <row r="365" spans="1:10" ht="38.25" x14ac:dyDescent="0.2">
      <c r="A365" s="87" t="s">
        <v>781</v>
      </c>
      <c r="B365" s="88" t="s">
        <v>865</v>
      </c>
      <c r="C365" s="87" t="s">
        <v>15</v>
      </c>
      <c r="D365" s="87" t="s">
        <v>866</v>
      </c>
      <c r="E365" s="126" t="s">
        <v>784</v>
      </c>
      <c r="F365" s="126"/>
      <c r="G365" s="89" t="s">
        <v>785</v>
      </c>
      <c r="H365" s="90">
        <v>0.08</v>
      </c>
      <c r="I365" s="91">
        <v>18.57</v>
      </c>
      <c r="J365" s="91">
        <v>1.48</v>
      </c>
    </row>
    <row r="366" spans="1:10" ht="38.25" x14ac:dyDescent="0.2">
      <c r="A366" s="87" t="s">
        <v>781</v>
      </c>
      <c r="B366" s="88" t="s">
        <v>867</v>
      </c>
      <c r="C366" s="87" t="s">
        <v>15</v>
      </c>
      <c r="D366" s="87" t="s">
        <v>868</v>
      </c>
      <c r="E366" s="126" t="s">
        <v>784</v>
      </c>
      <c r="F366" s="126"/>
      <c r="G366" s="89" t="s">
        <v>785</v>
      </c>
      <c r="H366" s="90">
        <v>0.04</v>
      </c>
      <c r="I366" s="91">
        <v>22.61</v>
      </c>
      <c r="J366" s="91">
        <v>0.9</v>
      </c>
    </row>
    <row r="367" spans="1:10" ht="38.25" x14ac:dyDescent="0.2">
      <c r="A367" s="87" t="s">
        <v>781</v>
      </c>
      <c r="B367" s="88" t="s">
        <v>871</v>
      </c>
      <c r="C367" s="87" t="s">
        <v>15</v>
      </c>
      <c r="D367" s="87" t="s">
        <v>872</v>
      </c>
      <c r="E367" s="126" t="s">
        <v>794</v>
      </c>
      <c r="F367" s="126"/>
      <c r="G367" s="89" t="s">
        <v>134</v>
      </c>
      <c r="H367" s="90">
        <v>1.1000000000000001</v>
      </c>
      <c r="I367" s="91">
        <v>6.9</v>
      </c>
      <c r="J367" s="91">
        <v>7.59</v>
      </c>
    </row>
    <row r="368" spans="1:10" ht="38.25" x14ac:dyDescent="0.2">
      <c r="A368" s="87" t="s">
        <v>781</v>
      </c>
      <c r="B368" s="88" t="s">
        <v>875</v>
      </c>
      <c r="C368" s="87" t="s">
        <v>15</v>
      </c>
      <c r="D368" s="87" t="s">
        <v>876</v>
      </c>
      <c r="E368" s="126" t="s">
        <v>794</v>
      </c>
      <c r="F368" s="126"/>
      <c r="G368" s="89" t="s">
        <v>134</v>
      </c>
      <c r="H368" s="90">
        <v>0.03</v>
      </c>
      <c r="I368" s="91">
        <v>13.7</v>
      </c>
      <c r="J368" s="91">
        <v>0.41</v>
      </c>
    </row>
    <row r="369" spans="1:10" ht="38.25" x14ac:dyDescent="0.2">
      <c r="A369" s="92"/>
      <c r="B369" s="92"/>
      <c r="C369" s="92"/>
      <c r="D369" s="92"/>
      <c r="E369" s="92" t="s">
        <v>801</v>
      </c>
      <c r="F369" s="93">
        <v>2.38</v>
      </c>
      <c r="G369" s="92" t="s">
        <v>802</v>
      </c>
      <c r="H369" s="93">
        <v>0</v>
      </c>
      <c r="I369" s="92" t="s">
        <v>803</v>
      </c>
      <c r="J369" s="93">
        <v>2.38</v>
      </c>
    </row>
    <row r="370" spans="1:10" ht="38.25" x14ac:dyDescent="0.2">
      <c r="A370" s="92"/>
      <c r="B370" s="92"/>
      <c r="C370" s="92"/>
      <c r="D370" s="92"/>
      <c r="E370" s="92" t="s">
        <v>804</v>
      </c>
      <c r="F370" s="93">
        <v>2.99</v>
      </c>
      <c r="G370" s="92"/>
      <c r="H370" s="127" t="s">
        <v>805</v>
      </c>
      <c r="I370" s="127"/>
      <c r="J370" s="93">
        <v>13.37</v>
      </c>
    </row>
    <row r="371" spans="1:10" ht="15" thickBot="1" x14ac:dyDescent="0.25">
      <c r="A371" s="77"/>
      <c r="B371" s="77"/>
      <c r="C371" s="77"/>
      <c r="D371" s="77"/>
      <c r="E371" s="77"/>
      <c r="F371" s="77"/>
      <c r="G371" s="77" t="s">
        <v>806</v>
      </c>
      <c r="H371" s="94">
        <v>449</v>
      </c>
      <c r="I371" s="77" t="s">
        <v>807</v>
      </c>
      <c r="J371" s="78">
        <v>6003.13</v>
      </c>
    </row>
    <row r="372" spans="1:10" ht="15" thickTop="1" x14ac:dyDescent="0.2">
      <c r="A372" s="95"/>
      <c r="B372" s="95"/>
      <c r="C372" s="95"/>
      <c r="D372" s="95"/>
      <c r="E372" s="95"/>
      <c r="F372" s="95"/>
      <c r="G372" s="95"/>
      <c r="H372" s="95"/>
      <c r="I372" s="95"/>
      <c r="J372" s="95"/>
    </row>
    <row r="373" spans="1:10" ht="15" x14ac:dyDescent="0.2">
      <c r="A373" s="75" t="s">
        <v>154</v>
      </c>
      <c r="B373" s="17" t="s">
        <v>11</v>
      </c>
      <c r="C373" s="75" t="s">
        <v>12</v>
      </c>
      <c r="D373" s="75" t="s">
        <v>2</v>
      </c>
      <c r="E373" s="124" t="s">
        <v>779</v>
      </c>
      <c r="F373" s="124"/>
      <c r="G373" s="76" t="s">
        <v>3</v>
      </c>
      <c r="H373" s="17" t="s">
        <v>4</v>
      </c>
      <c r="I373" s="17" t="s">
        <v>13</v>
      </c>
      <c r="J373" s="17" t="s">
        <v>17</v>
      </c>
    </row>
    <row r="374" spans="1:10" ht="25.5" x14ac:dyDescent="0.2">
      <c r="A374" s="19" t="s">
        <v>780</v>
      </c>
      <c r="B374" s="20" t="s">
        <v>136</v>
      </c>
      <c r="C374" s="19" t="s">
        <v>15</v>
      </c>
      <c r="D374" s="19" t="s">
        <v>137</v>
      </c>
      <c r="E374" s="125">
        <v>11.01</v>
      </c>
      <c r="F374" s="125"/>
      <c r="G374" s="21" t="s">
        <v>50</v>
      </c>
      <c r="H374" s="86">
        <v>1</v>
      </c>
      <c r="I374" s="82">
        <v>565.37</v>
      </c>
      <c r="J374" s="82">
        <v>565.37</v>
      </c>
    </row>
    <row r="375" spans="1:10" ht="38.25" x14ac:dyDescent="0.2">
      <c r="A375" s="87" t="s">
        <v>781</v>
      </c>
      <c r="B375" s="88" t="s">
        <v>899</v>
      </c>
      <c r="C375" s="87" t="s">
        <v>15</v>
      </c>
      <c r="D375" s="87" t="s">
        <v>900</v>
      </c>
      <c r="E375" s="126" t="s">
        <v>794</v>
      </c>
      <c r="F375" s="126"/>
      <c r="G375" s="89" t="s">
        <v>50</v>
      </c>
      <c r="H375" s="90">
        <v>1.03</v>
      </c>
      <c r="I375" s="91">
        <v>548.91</v>
      </c>
      <c r="J375" s="91">
        <v>565.37</v>
      </c>
    </row>
    <row r="376" spans="1:10" ht="38.25" x14ac:dyDescent="0.2">
      <c r="A376" s="92"/>
      <c r="B376" s="92"/>
      <c r="C376" s="92"/>
      <c r="D376" s="92"/>
      <c r="E376" s="92" t="s">
        <v>801</v>
      </c>
      <c r="F376" s="93">
        <v>0</v>
      </c>
      <c r="G376" s="92" t="s">
        <v>802</v>
      </c>
      <c r="H376" s="93">
        <v>0</v>
      </c>
      <c r="I376" s="92" t="s">
        <v>803</v>
      </c>
      <c r="J376" s="93">
        <v>0</v>
      </c>
    </row>
    <row r="377" spans="1:10" ht="38.25" x14ac:dyDescent="0.2">
      <c r="A377" s="92"/>
      <c r="B377" s="92"/>
      <c r="C377" s="92"/>
      <c r="D377" s="92"/>
      <c r="E377" s="92" t="s">
        <v>804</v>
      </c>
      <c r="F377" s="93">
        <v>162.93</v>
      </c>
      <c r="G377" s="92"/>
      <c r="H377" s="127" t="s">
        <v>805</v>
      </c>
      <c r="I377" s="127"/>
      <c r="J377" s="93">
        <v>728.3</v>
      </c>
    </row>
    <row r="378" spans="1:10" ht="15" thickBot="1" x14ac:dyDescent="0.25">
      <c r="A378" s="77"/>
      <c r="B378" s="77"/>
      <c r="C378" s="77"/>
      <c r="D378" s="77"/>
      <c r="E378" s="77"/>
      <c r="F378" s="77"/>
      <c r="G378" s="77" t="s">
        <v>806</v>
      </c>
      <c r="H378" s="94">
        <v>7.22</v>
      </c>
      <c r="I378" s="77" t="s">
        <v>807</v>
      </c>
      <c r="J378" s="78">
        <v>5258.32</v>
      </c>
    </row>
    <row r="379" spans="1:10" ht="15" thickTop="1" x14ac:dyDescent="0.2">
      <c r="A379" s="95"/>
      <c r="B379" s="95"/>
      <c r="C379" s="95"/>
      <c r="D379" s="95"/>
      <c r="E379" s="95"/>
      <c r="F379" s="95"/>
      <c r="G379" s="95"/>
      <c r="H379" s="95"/>
      <c r="I379" s="95"/>
      <c r="J379" s="95"/>
    </row>
    <row r="380" spans="1:10" ht="15" x14ac:dyDescent="0.2">
      <c r="A380" s="75" t="s">
        <v>155</v>
      </c>
      <c r="B380" s="17" t="s">
        <v>11</v>
      </c>
      <c r="C380" s="75" t="s">
        <v>12</v>
      </c>
      <c r="D380" s="75" t="s">
        <v>2</v>
      </c>
      <c r="E380" s="124" t="s">
        <v>779</v>
      </c>
      <c r="F380" s="124"/>
      <c r="G380" s="76" t="s">
        <v>3</v>
      </c>
      <c r="H380" s="17" t="s">
        <v>4</v>
      </c>
      <c r="I380" s="17" t="s">
        <v>13</v>
      </c>
      <c r="J380" s="17" t="s">
        <v>17</v>
      </c>
    </row>
    <row r="381" spans="1:10" ht="25.5" x14ac:dyDescent="0.2">
      <c r="A381" s="19" t="s">
        <v>780</v>
      </c>
      <c r="B381" s="20" t="s">
        <v>156</v>
      </c>
      <c r="C381" s="19" t="s">
        <v>15</v>
      </c>
      <c r="D381" s="19" t="s">
        <v>157</v>
      </c>
      <c r="E381" s="125">
        <v>11.16</v>
      </c>
      <c r="F381" s="125"/>
      <c r="G381" s="21" t="s">
        <v>50</v>
      </c>
      <c r="H381" s="86">
        <v>1</v>
      </c>
      <c r="I381" s="82">
        <v>78.319999999999993</v>
      </c>
      <c r="J381" s="82">
        <v>78.319999999999993</v>
      </c>
    </row>
    <row r="382" spans="1:10" ht="38.25" x14ac:dyDescent="0.2">
      <c r="A382" s="87" t="s">
        <v>781</v>
      </c>
      <c r="B382" s="88" t="s">
        <v>832</v>
      </c>
      <c r="C382" s="87" t="s">
        <v>15</v>
      </c>
      <c r="D382" s="87" t="s">
        <v>833</v>
      </c>
      <c r="E382" s="126" t="s">
        <v>784</v>
      </c>
      <c r="F382" s="126"/>
      <c r="G382" s="89" t="s">
        <v>785</v>
      </c>
      <c r="H382" s="90">
        <v>1</v>
      </c>
      <c r="I382" s="91">
        <v>22.61</v>
      </c>
      <c r="J382" s="91">
        <v>22.61</v>
      </c>
    </row>
    <row r="383" spans="1:10" ht="38.25" x14ac:dyDescent="0.2">
      <c r="A383" s="87" t="s">
        <v>781</v>
      </c>
      <c r="B383" s="88" t="s">
        <v>816</v>
      </c>
      <c r="C383" s="87" t="s">
        <v>15</v>
      </c>
      <c r="D383" s="87" t="s">
        <v>817</v>
      </c>
      <c r="E383" s="126" t="s">
        <v>784</v>
      </c>
      <c r="F383" s="126"/>
      <c r="G383" s="89" t="s">
        <v>785</v>
      </c>
      <c r="H383" s="90">
        <v>3</v>
      </c>
      <c r="I383" s="91">
        <v>18.57</v>
      </c>
      <c r="J383" s="91">
        <v>55.71</v>
      </c>
    </row>
    <row r="384" spans="1:10" ht="38.25" x14ac:dyDescent="0.2">
      <c r="A384" s="92"/>
      <c r="B384" s="92"/>
      <c r="C384" s="92"/>
      <c r="D384" s="92"/>
      <c r="E384" s="92" t="s">
        <v>801</v>
      </c>
      <c r="F384" s="93">
        <v>78.319999999999993</v>
      </c>
      <c r="G384" s="92" t="s">
        <v>802</v>
      </c>
      <c r="H384" s="93">
        <v>0</v>
      </c>
      <c r="I384" s="92" t="s">
        <v>803</v>
      </c>
      <c r="J384" s="93">
        <v>78.319999999999993</v>
      </c>
    </row>
    <row r="385" spans="1:10" ht="38.25" x14ac:dyDescent="0.2">
      <c r="A385" s="92"/>
      <c r="B385" s="92"/>
      <c r="C385" s="92"/>
      <c r="D385" s="92"/>
      <c r="E385" s="92" t="s">
        <v>804</v>
      </c>
      <c r="F385" s="93">
        <v>22.57</v>
      </c>
      <c r="G385" s="92"/>
      <c r="H385" s="127" t="s">
        <v>805</v>
      </c>
      <c r="I385" s="127"/>
      <c r="J385" s="93">
        <v>100.89</v>
      </c>
    </row>
    <row r="386" spans="1:10" ht="15" thickBot="1" x14ac:dyDescent="0.25">
      <c r="A386" s="77"/>
      <c r="B386" s="77"/>
      <c r="C386" s="77"/>
      <c r="D386" s="77"/>
      <c r="E386" s="77"/>
      <c r="F386" s="77"/>
      <c r="G386" s="77" t="s">
        <v>806</v>
      </c>
      <c r="H386" s="94">
        <v>7.22</v>
      </c>
      <c r="I386" s="77" t="s">
        <v>807</v>
      </c>
      <c r="J386" s="78">
        <v>728.42</v>
      </c>
    </row>
    <row r="387" spans="1:10" ht="15" thickTop="1" x14ac:dyDescent="0.2">
      <c r="A387" s="95"/>
      <c r="B387" s="95"/>
      <c r="C387" s="95"/>
      <c r="D387" s="95"/>
      <c r="E387" s="95"/>
      <c r="F387" s="95"/>
      <c r="G387" s="95"/>
      <c r="H387" s="95"/>
      <c r="I387" s="95"/>
      <c r="J387" s="95"/>
    </row>
    <row r="388" spans="1:10" ht="15" x14ac:dyDescent="0.2">
      <c r="A388" s="75" t="s">
        <v>158</v>
      </c>
      <c r="B388" s="17" t="s">
        <v>11</v>
      </c>
      <c r="C388" s="75" t="s">
        <v>12</v>
      </c>
      <c r="D388" s="75" t="s">
        <v>2</v>
      </c>
      <c r="E388" s="124" t="s">
        <v>779</v>
      </c>
      <c r="F388" s="124"/>
      <c r="G388" s="76" t="s">
        <v>3</v>
      </c>
      <c r="H388" s="17" t="s">
        <v>4</v>
      </c>
      <c r="I388" s="17" t="s">
        <v>13</v>
      </c>
      <c r="J388" s="17" t="s">
        <v>17</v>
      </c>
    </row>
    <row r="389" spans="1:10" ht="25.5" x14ac:dyDescent="0.2">
      <c r="A389" s="19" t="s">
        <v>780</v>
      </c>
      <c r="B389" s="20" t="s">
        <v>159</v>
      </c>
      <c r="C389" s="19" t="s">
        <v>15</v>
      </c>
      <c r="D389" s="19" t="s">
        <v>160</v>
      </c>
      <c r="E389" s="125">
        <v>13.01</v>
      </c>
      <c r="F389" s="125"/>
      <c r="G389" s="21" t="s">
        <v>5</v>
      </c>
      <c r="H389" s="86">
        <v>1</v>
      </c>
      <c r="I389" s="82">
        <v>153.47999999999999</v>
      </c>
      <c r="J389" s="82">
        <v>153.47999999999999</v>
      </c>
    </row>
    <row r="390" spans="1:10" ht="38.25" x14ac:dyDescent="0.2">
      <c r="A390" s="87" t="s">
        <v>781</v>
      </c>
      <c r="B390" s="88" t="s">
        <v>782</v>
      </c>
      <c r="C390" s="87" t="s">
        <v>15</v>
      </c>
      <c r="D390" s="87" t="s">
        <v>783</v>
      </c>
      <c r="E390" s="126" t="s">
        <v>784</v>
      </c>
      <c r="F390" s="126"/>
      <c r="G390" s="89" t="s">
        <v>785</v>
      </c>
      <c r="H390" s="90">
        <v>0.22</v>
      </c>
      <c r="I390" s="91">
        <v>18.57</v>
      </c>
      <c r="J390" s="91">
        <v>4.08</v>
      </c>
    </row>
    <row r="391" spans="1:10" ht="38.25" x14ac:dyDescent="0.2">
      <c r="A391" s="87" t="s">
        <v>781</v>
      </c>
      <c r="B391" s="88" t="s">
        <v>832</v>
      </c>
      <c r="C391" s="87" t="s">
        <v>15</v>
      </c>
      <c r="D391" s="87" t="s">
        <v>833</v>
      </c>
      <c r="E391" s="126" t="s">
        <v>784</v>
      </c>
      <c r="F391" s="126"/>
      <c r="G391" s="89" t="s">
        <v>785</v>
      </c>
      <c r="H391" s="90">
        <v>0.35</v>
      </c>
      <c r="I391" s="91">
        <v>22.61</v>
      </c>
      <c r="J391" s="91">
        <v>7.91</v>
      </c>
    </row>
    <row r="392" spans="1:10" ht="38.25" x14ac:dyDescent="0.2">
      <c r="A392" s="87" t="s">
        <v>781</v>
      </c>
      <c r="B392" s="88" t="s">
        <v>816</v>
      </c>
      <c r="C392" s="87" t="s">
        <v>15</v>
      </c>
      <c r="D392" s="87" t="s">
        <v>817</v>
      </c>
      <c r="E392" s="126" t="s">
        <v>784</v>
      </c>
      <c r="F392" s="126"/>
      <c r="G392" s="89" t="s">
        <v>785</v>
      </c>
      <c r="H392" s="90">
        <v>0.7</v>
      </c>
      <c r="I392" s="91">
        <v>18.57</v>
      </c>
      <c r="J392" s="91">
        <v>12.99</v>
      </c>
    </row>
    <row r="393" spans="1:10" ht="38.25" x14ac:dyDescent="0.2">
      <c r="A393" s="87" t="s">
        <v>781</v>
      </c>
      <c r="B393" s="88" t="s">
        <v>790</v>
      </c>
      <c r="C393" s="87" t="s">
        <v>15</v>
      </c>
      <c r="D393" s="87" t="s">
        <v>791</v>
      </c>
      <c r="E393" s="126" t="s">
        <v>784</v>
      </c>
      <c r="F393" s="126"/>
      <c r="G393" s="89" t="s">
        <v>785</v>
      </c>
      <c r="H393" s="90">
        <v>0.22</v>
      </c>
      <c r="I393" s="91">
        <v>22.61</v>
      </c>
      <c r="J393" s="91">
        <v>4.97</v>
      </c>
    </row>
    <row r="394" spans="1:10" ht="38.25" x14ac:dyDescent="0.2">
      <c r="A394" s="87" t="s">
        <v>781</v>
      </c>
      <c r="B394" s="88" t="s">
        <v>869</v>
      </c>
      <c r="C394" s="87" t="s">
        <v>15</v>
      </c>
      <c r="D394" s="87" t="s">
        <v>870</v>
      </c>
      <c r="E394" s="126" t="s">
        <v>794</v>
      </c>
      <c r="F394" s="126"/>
      <c r="G394" s="89" t="s">
        <v>50</v>
      </c>
      <c r="H394" s="90">
        <v>4.3999999999999997E-2</v>
      </c>
      <c r="I394" s="91">
        <v>485.62</v>
      </c>
      <c r="J394" s="91">
        <v>21.36</v>
      </c>
    </row>
    <row r="395" spans="1:10" ht="38.25" x14ac:dyDescent="0.2">
      <c r="A395" s="87" t="s">
        <v>781</v>
      </c>
      <c r="B395" s="88" t="s">
        <v>792</v>
      </c>
      <c r="C395" s="87" t="s">
        <v>15</v>
      </c>
      <c r="D395" s="87" t="s">
        <v>793</v>
      </c>
      <c r="E395" s="126" t="s">
        <v>794</v>
      </c>
      <c r="F395" s="126"/>
      <c r="G395" s="89" t="s">
        <v>78</v>
      </c>
      <c r="H395" s="90">
        <v>1.01</v>
      </c>
      <c r="I395" s="91">
        <v>25.9</v>
      </c>
      <c r="J395" s="91">
        <v>26.15</v>
      </c>
    </row>
    <row r="396" spans="1:10" ht="38.25" x14ac:dyDescent="0.2">
      <c r="A396" s="87" t="s">
        <v>781</v>
      </c>
      <c r="B396" s="88" t="s">
        <v>893</v>
      </c>
      <c r="C396" s="87" t="s">
        <v>15</v>
      </c>
      <c r="D396" s="87" t="s">
        <v>894</v>
      </c>
      <c r="E396" s="126" t="s">
        <v>794</v>
      </c>
      <c r="F396" s="126"/>
      <c r="G396" s="89" t="s">
        <v>78</v>
      </c>
      <c r="H396" s="90">
        <v>0.74</v>
      </c>
      <c r="I396" s="91">
        <v>7.59</v>
      </c>
      <c r="J396" s="91">
        <v>5.61</v>
      </c>
    </row>
    <row r="397" spans="1:10" ht="38.25" x14ac:dyDescent="0.2">
      <c r="A397" s="87" t="s">
        <v>781</v>
      </c>
      <c r="B397" s="88" t="s">
        <v>907</v>
      </c>
      <c r="C397" s="87" t="s">
        <v>15</v>
      </c>
      <c r="D397" s="87" t="s">
        <v>908</v>
      </c>
      <c r="E397" s="126" t="s">
        <v>794</v>
      </c>
      <c r="F397" s="126"/>
      <c r="G397" s="89" t="s">
        <v>5</v>
      </c>
      <c r="H397" s="90">
        <v>1</v>
      </c>
      <c r="I397" s="91">
        <v>49.88</v>
      </c>
      <c r="J397" s="91">
        <v>49.88</v>
      </c>
    </row>
    <row r="398" spans="1:10" ht="38.25" x14ac:dyDescent="0.2">
      <c r="A398" s="87" t="s">
        <v>781</v>
      </c>
      <c r="B398" s="88" t="s">
        <v>818</v>
      </c>
      <c r="C398" s="87" t="s">
        <v>15</v>
      </c>
      <c r="D398" s="87" t="s">
        <v>819</v>
      </c>
      <c r="E398" s="126" t="s">
        <v>794</v>
      </c>
      <c r="F398" s="126"/>
      <c r="G398" s="89" t="s">
        <v>5</v>
      </c>
      <c r="H398" s="90">
        <v>0.18</v>
      </c>
      <c r="I398" s="91">
        <v>112.78</v>
      </c>
      <c r="J398" s="91">
        <v>20.3</v>
      </c>
    </row>
    <row r="399" spans="1:10" ht="38.25" x14ac:dyDescent="0.2">
      <c r="A399" s="87" t="s">
        <v>781</v>
      </c>
      <c r="B399" s="88" t="s">
        <v>795</v>
      </c>
      <c r="C399" s="87" t="s">
        <v>15</v>
      </c>
      <c r="D399" s="87" t="s">
        <v>796</v>
      </c>
      <c r="E399" s="126" t="s">
        <v>794</v>
      </c>
      <c r="F399" s="126"/>
      <c r="G399" s="89" t="s">
        <v>134</v>
      </c>
      <c r="H399" s="90">
        <v>0.02</v>
      </c>
      <c r="I399" s="91">
        <v>11.64</v>
      </c>
      <c r="J399" s="91">
        <v>0.23</v>
      </c>
    </row>
    <row r="400" spans="1:10" ht="38.25" x14ac:dyDescent="0.2">
      <c r="A400" s="92"/>
      <c r="B400" s="92"/>
      <c r="C400" s="92"/>
      <c r="D400" s="92"/>
      <c r="E400" s="92" t="s">
        <v>801</v>
      </c>
      <c r="F400" s="93">
        <v>29.95</v>
      </c>
      <c r="G400" s="92" t="s">
        <v>802</v>
      </c>
      <c r="H400" s="93">
        <v>0</v>
      </c>
      <c r="I400" s="92" t="s">
        <v>803</v>
      </c>
      <c r="J400" s="93">
        <v>29.95</v>
      </c>
    </row>
    <row r="401" spans="1:10" ht="38.25" x14ac:dyDescent="0.2">
      <c r="A401" s="92"/>
      <c r="B401" s="92"/>
      <c r="C401" s="92"/>
      <c r="D401" s="92"/>
      <c r="E401" s="92" t="s">
        <v>804</v>
      </c>
      <c r="F401" s="93">
        <v>44.23</v>
      </c>
      <c r="G401" s="92"/>
      <c r="H401" s="127" t="s">
        <v>805</v>
      </c>
      <c r="I401" s="127"/>
      <c r="J401" s="93">
        <v>197.71</v>
      </c>
    </row>
    <row r="402" spans="1:10" ht="15" thickBot="1" x14ac:dyDescent="0.25">
      <c r="A402" s="77"/>
      <c r="B402" s="77"/>
      <c r="C402" s="77"/>
      <c r="D402" s="77"/>
      <c r="E402" s="77"/>
      <c r="F402" s="77"/>
      <c r="G402" s="77" t="s">
        <v>806</v>
      </c>
      <c r="H402" s="94">
        <v>12.38</v>
      </c>
      <c r="I402" s="77" t="s">
        <v>807</v>
      </c>
      <c r="J402" s="78">
        <v>2447.64</v>
      </c>
    </row>
    <row r="403" spans="1:10" ht="15" thickTop="1" x14ac:dyDescent="0.2">
      <c r="A403" s="95"/>
      <c r="B403" s="95"/>
      <c r="C403" s="95"/>
      <c r="D403" s="95"/>
      <c r="E403" s="95"/>
      <c r="F403" s="95"/>
      <c r="G403" s="95"/>
      <c r="H403" s="95"/>
      <c r="I403" s="95"/>
      <c r="J403" s="95"/>
    </row>
    <row r="404" spans="1:10" x14ac:dyDescent="0.2">
      <c r="A404" s="18" t="s">
        <v>161</v>
      </c>
      <c r="B404" s="18"/>
      <c r="C404" s="18"/>
      <c r="D404" s="18" t="s">
        <v>162</v>
      </c>
      <c r="E404" s="18"/>
      <c r="F404" s="122"/>
      <c r="G404" s="122"/>
      <c r="H404" s="39"/>
      <c r="I404" s="18"/>
      <c r="J404" s="80">
        <v>16849.07</v>
      </c>
    </row>
    <row r="405" spans="1:10" x14ac:dyDescent="0.2">
      <c r="A405" s="18" t="s">
        <v>163</v>
      </c>
      <c r="B405" s="18"/>
      <c r="C405" s="18"/>
      <c r="D405" s="18" t="s">
        <v>162</v>
      </c>
      <c r="E405" s="18"/>
      <c r="F405" s="122"/>
      <c r="G405" s="122"/>
      <c r="H405" s="39"/>
      <c r="I405" s="18"/>
      <c r="J405" s="80">
        <v>16849.07</v>
      </c>
    </row>
    <row r="406" spans="1:10" ht="15" x14ac:dyDescent="0.2">
      <c r="A406" s="75" t="s">
        <v>164</v>
      </c>
      <c r="B406" s="17" t="s">
        <v>11</v>
      </c>
      <c r="C406" s="75" t="s">
        <v>12</v>
      </c>
      <c r="D406" s="75" t="s">
        <v>2</v>
      </c>
      <c r="E406" s="124" t="s">
        <v>779</v>
      </c>
      <c r="F406" s="124"/>
      <c r="G406" s="76" t="s">
        <v>3</v>
      </c>
      <c r="H406" s="17" t="s">
        <v>4</v>
      </c>
      <c r="I406" s="17" t="s">
        <v>13</v>
      </c>
      <c r="J406" s="17" t="s">
        <v>17</v>
      </c>
    </row>
    <row r="407" spans="1:10" ht="25.5" x14ac:dyDescent="0.2">
      <c r="A407" s="19" t="s">
        <v>780</v>
      </c>
      <c r="B407" s="20" t="s">
        <v>165</v>
      </c>
      <c r="C407" s="19" t="s">
        <v>15</v>
      </c>
      <c r="D407" s="19" t="s">
        <v>166</v>
      </c>
      <c r="E407" s="125">
        <v>14.05</v>
      </c>
      <c r="F407" s="125"/>
      <c r="G407" s="21" t="s">
        <v>5</v>
      </c>
      <c r="H407" s="86">
        <v>1</v>
      </c>
      <c r="I407" s="82">
        <v>77.27</v>
      </c>
      <c r="J407" s="82">
        <v>77.27</v>
      </c>
    </row>
    <row r="408" spans="1:10" ht="38.25" x14ac:dyDescent="0.2">
      <c r="A408" s="87" t="s">
        <v>781</v>
      </c>
      <c r="B408" s="88" t="s">
        <v>832</v>
      </c>
      <c r="C408" s="87" t="s">
        <v>15</v>
      </c>
      <c r="D408" s="87" t="s">
        <v>833</v>
      </c>
      <c r="E408" s="126" t="s">
        <v>784</v>
      </c>
      <c r="F408" s="126"/>
      <c r="G408" s="89" t="s">
        <v>785</v>
      </c>
      <c r="H408" s="90">
        <v>0.75</v>
      </c>
      <c r="I408" s="91">
        <v>22.61</v>
      </c>
      <c r="J408" s="91">
        <v>16.95</v>
      </c>
    </row>
    <row r="409" spans="1:10" ht="38.25" x14ac:dyDescent="0.2">
      <c r="A409" s="87" t="s">
        <v>781</v>
      </c>
      <c r="B409" s="88" t="s">
        <v>816</v>
      </c>
      <c r="C409" s="87" t="s">
        <v>15</v>
      </c>
      <c r="D409" s="87" t="s">
        <v>817</v>
      </c>
      <c r="E409" s="126" t="s">
        <v>784</v>
      </c>
      <c r="F409" s="126"/>
      <c r="G409" s="89" t="s">
        <v>785</v>
      </c>
      <c r="H409" s="90">
        <v>0.85</v>
      </c>
      <c r="I409" s="91">
        <v>18.57</v>
      </c>
      <c r="J409" s="91">
        <v>15.78</v>
      </c>
    </row>
    <row r="410" spans="1:10" ht="38.25" x14ac:dyDescent="0.2">
      <c r="A410" s="87" t="s">
        <v>781</v>
      </c>
      <c r="B410" s="88" t="s">
        <v>909</v>
      </c>
      <c r="C410" s="87" t="s">
        <v>15</v>
      </c>
      <c r="D410" s="87" t="s">
        <v>910</v>
      </c>
      <c r="E410" s="126" t="s">
        <v>794</v>
      </c>
      <c r="F410" s="126"/>
      <c r="G410" s="89" t="s">
        <v>134</v>
      </c>
      <c r="H410" s="90">
        <v>0.72</v>
      </c>
      <c r="I410" s="91">
        <v>0.88</v>
      </c>
      <c r="J410" s="91">
        <v>0.63</v>
      </c>
    </row>
    <row r="411" spans="1:10" ht="38.25" x14ac:dyDescent="0.2">
      <c r="A411" s="87" t="s">
        <v>781</v>
      </c>
      <c r="B411" s="88" t="s">
        <v>911</v>
      </c>
      <c r="C411" s="87" t="s">
        <v>15</v>
      </c>
      <c r="D411" s="87" t="s">
        <v>912</v>
      </c>
      <c r="E411" s="126" t="s">
        <v>794</v>
      </c>
      <c r="F411" s="126"/>
      <c r="G411" s="89" t="s">
        <v>50</v>
      </c>
      <c r="H411" s="90">
        <v>1.2E-2</v>
      </c>
      <c r="I411" s="91">
        <v>167.7</v>
      </c>
      <c r="J411" s="91">
        <v>2.0099999999999998</v>
      </c>
    </row>
    <row r="412" spans="1:10" ht="38.25" x14ac:dyDescent="0.2">
      <c r="A412" s="87" t="s">
        <v>781</v>
      </c>
      <c r="B412" s="88" t="s">
        <v>913</v>
      </c>
      <c r="C412" s="87" t="s">
        <v>15</v>
      </c>
      <c r="D412" s="87" t="s">
        <v>914</v>
      </c>
      <c r="E412" s="126" t="s">
        <v>794</v>
      </c>
      <c r="F412" s="126"/>
      <c r="G412" s="89" t="s">
        <v>134</v>
      </c>
      <c r="H412" s="90">
        <v>2.89</v>
      </c>
      <c r="I412" s="91">
        <v>0.6</v>
      </c>
      <c r="J412" s="91">
        <v>1.73</v>
      </c>
    </row>
    <row r="413" spans="1:10" ht="38.25" x14ac:dyDescent="0.2">
      <c r="A413" s="87" t="s">
        <v>781</v>
      </c>
      <c r="B413" s="88" t="s">
        <v>915</v>
      </c>
      <c r="C413" s="87" t="s">
        <v>15</v>
      </c>
      <c r="D413" s="87" t="s">
        <v>916</v>
      </c>
      <c r="E413" s="126" t="s">
        <v>794</v>
      </c>
      <c r="F413" s="126"/>
      <c r="G413" s="89" t="s">
        <v>32</v>
      </c>
      <c r="H413" s="90">
        <v>13</v>
      </c>
      <c r="I413" s="91">
        <v>3.09</v>
      </c>
      <c r="J413" s="91">
        <v>40.17</v>
      </c>
    </row>
    <row r="414" spans="1:10" ht="38.25" x14ac:dyDescent="0.2">
      <c r="A414" s="92"/>
      <c r="B414" s="92"/>
      <c r="C414" s="92"/>
      <c r="D414" s="92"/>
      <c r="E414" s="92" t="s">
        <v>801</v>
      </c>
      <c r="F414" s="93">
        <v>32.729999999999997</v>
      </c>
      <c r="G414" s="92" t="s">
        <v>802</v>
      </c>
      <c r="H414" s="93">
        <v>0</v>
      </c>
      <c r="I414" s="92" t="s">
        <v>803</v>
      </c>
      <c r="J414" s="93">
        <v>32.729999999999997</v>
      </c>
    </row>
    <row r="415" spans="1:10" ht="38.25" x14ac:dyDescent="0.2">
      <c r="A415" s="92"/>
      <c r="B415" s="92"/>
      <c r="C415" s="92"/>
      <c r="D415" s="92"/>
      <c r="E415" s="92" t="s">
        <v>804</v>
      </c>
      <c r="F415" s="93">
        <v>22.26</v>
      </c>
      <c r="G415" s="92"/>
      <c r="H415" s="127" t="s">
        <v>805</v>
      </c>
      <c r="I415" s="127"/>
      <c r="J415" s="93">
        <v>99.53</v>
      </c>
    </row>
    <row r="416" spans="1:10" ht="15" thickBot="1" x14ac:dyDescent="0.25">
      <c r="A416" s="77"/>
      <c r="B416" s="77"/>
      <c r="C416" s="77"/>
      <c r="D416" s="77"/>
      <c r="E416" s="77"/>
      <c r="F416" s="77"/>
      <c r="G416" s="77" t="s">
        <v>806</v>
      </c>
      <c r="H416" s="94">
        <v>109.67</v>
      </c>
      <c r="I416" s="77" t="s">
        <v>807</v>
      </c>
      <c r="J416" s="78">
        <v>10915.45</v>
      </c>
    </row>
    <row r="417" spans="1:10" ht="15" thickTop="1" x14ac:dyDescent="0.2">
      <c r="A417" s="95"/>
      <c r="B417" s="95"/>
      <c r="C417" s="95"/>
      <c r="D417" s="95"/>
      <c r="E417" s="95"/>
      <c r="F417" s="95"/>
      <c r="G417" s="95"/>
      <c r="H417" s="95"/>
      <c r="I417" s="95"/>
      <c r="J417" s="95"/>
    </row>
    <row r="418" spans="1:10" ht="15" x14ac:dyDescent="0.2">
      <c r="A418" s="75" t="s">
        <v>167</v>
      </c>
      <c r="B418" s="17" t="s">
        <v>11</v>
      </c>
      <c r="C418" s="75" t="s">
        <v>12</v>
      </c>
      <c r="D418" s="75" t="s">
        <v>2</v>
      </c>
      <c r="E418" s="124" t="s">
        <v>779</v>
      </c>
      <c r="F418" s="124"/>
      <c r="G418" s="76" t="s">
        <v>3</v>
      </c>
      <c r="H418" s="17" t="s">
        <v>4</v>
      </c>
      <c r="I418" s="17" t="s">
        <v>13</v>
      </c>
      <c r="J418" s="17" t="s">
        <v>17</v>
      </c>
    </row>
    <row r="419" spans="1:10" ht="25.5" x14ac:dyDescent="0.2">
      <c r="A419" s="19" t="s">
        <v>780</v>
      </c>
      <c r="B419" s="20" t="s">
        <v>132</v>
      </c>
      <c r="C419" s="19" t="s">
        <v>15</v>
      </c>
      <c r="D419" s="19" t="s">
        <v>133</v>
      </c>
      <c r="E419" s="125">
        <v>10.01</v>
      </c>
      <c r="F419" s="125"/>
      <c r="G419" s="21" t="s">
        <v>134</v>
      </c>
      <c r="H419" s="86">
        <v>1</v>
      </c>
      <c r="I419" s="82">
        <v>10.38</v>
      </c>
      <c r="J419" s="82">
        <v>10.38</v>
      </c>
    </row>
    <row r="420" spans="1:10" ht="38.25" x14ac:dyDescent="0.2">
      <c r="A420" s="87" t="s">
        <v>781</v>
      </c>
      <c r="B420" s="88" t="s">
        <v>865</v>
      </c>
      <c r="C420" s="87" t="s">
        <v>15</v>
      </c>
      <c r="D420" s="87" t="s">
        <v>866</v>
      </c>
      <c r="E420" s="126" t="s">
        <v>784</v>
      </c>
      <c r="F420" s="126"/>
      <c r="G420" s="89" t="s">
        <v>785</v>
      </c>
      <c r="H420" s="90">
        <v>0.08</v>
      </c>
      <c r="I420" s="91">
        <v>18.57</v>
      </c>
      <c r="J420" s="91">
        <v>1.48</v>
      </c>
    </row>
    <row r="421" spans="1:10" ht="38.25" x14ac:dyDescent="0.2">
      <c r="A421" s="87" t="s">
        <v>781</v>
      </c>
      <c r="B421" s="88" t="s">
        <v>867</v>
      </c>
      <c r="C421" s="87" t="s">
        <v>15</v>
      </c>
      <c r="D421" s="87" t="s">
        <v>868</v>
      </c>
      <c r="E421" s="126" t="s">
        <v>784</v>
      </c>
      <c r="F421" s="126"/>
      <c r="G421" s="89" t="s">
        <v>785</v>
      </c>
      <c r="H421" s="90">
        <v>0.04</v>
      </c>
      <c r="I421" s="91">
        <v>22.61</v>
      </c>
      <c r="J421" s="91">
        <v>0.9</v>
      </c>
    </row>
    <row r="422" spans="1:10" ht="38.25" x14ac:dyDescent="0.2">
      <c r="A422" s="87" t="s">
        <v>781</v>
      </c>
      <c r="B422" s="88" t="s">
        <v>871</v>
      </c>
      <c r="C422" s="87" t="s">
        <v>15</v>
      </c>
      <c r="D422" s="87" t="s">
        <v>872</v>
      </c>
      <c r="E422" s="126" t="s">
        <v>794</v>
      </c>
      <c r="F422" s="126"/>
      <c r="G422" s="89" t="s">
        <v>134</v>
      </c>
      <c r="H422" s="90">
        <v>1.1000000000000001</v>
      </c>
      <c r="I422" s="91">
        <v>6.9</v>
      </c>
      <c r="J422" s="91">
        <v>7.59</v>
      </c>
    </row>
    <row r="423" spans="1:10" ht="38.25" x14ac:dyDescent="0.2">
      <c r="A423" s="87" t="s">
        <v>781</v>
      </c>
      <c r="B423" s="88" t="s">
        <v>875</v>
      </c>
      <c r="C423" s="87" t="s">
        <v>15</v>
      </c>
      <c r="D423" s="87" t="s">
        <v>876</v>
      </c>
      <c r="E423" s="126" t="s">
        <v>794</v>
      </c>
      <c r="F423" s="126"/>
      <c r="G423" s="89" t="s">
        <v>134</v>
      </c>
      <c r="H423" s="90">
        <v>0.03</v>
      </c>
      <c r="I423" s="91">
        <v>13.7</v>
      </c>
      <c r="J423" s="91">
        <v>0.41</v>
      </c>
    </row>
    <row r="424" spans="1:10" ht="38.25" x14ac:dyDescent="0.2">
      <c r="A424" s="92"/>
      <c r="B424" s="92"/>
      <c r="C424" s="92"/>
      <c r="D424" s="92"/>
      <c r="E424" s="92" t="s">
        <v>801</v>
      </c>
      <c r="F424" s="93">
        <v>2.38</v>
      </c>
      <c r="G424" s="92" t="s">
        <v>802</v>
      </c>
      <c r="H424" s="93">
        <v>0</v>
      </c>
      <c r="I424" s="92" t="s">
        <v>803</v>
      </c>
      <c r="J424" s="93">
        <v>2.38</v>
      </c>
    </row>
    <row r="425" spans="1:10" ht="38.25" x14ac:dyDescent="0.2">
      <c r="A425" s="92"/>
      <c r="B425" s="92"/>
      <c r="C425" s="92"/>
      <c r="D425" s="92"/>
      <c r="E425" s="92" t="s">
        <v>804</v>
      </c>
      <c r="F425" s="93">
        <v>2.99</v>
      </c>
      <c r="G425" s="92"/>
      <c r="H425" s="127" t="s">
        <v>805</v>
      </c>
      <c r="I425" s="127"/>
      <c r="J425" s="93">
        <v>13.37</v>
      </c>
    </row>
    <row r="426" spans="1:10" ht="15" thickBot="1" x14ac:dyDescent="0.25">
      <c r="A426" s="77"/>
      <c r="B426" s="77"/>
      <c r="C426" s="77"/>
      <c r="D426" s="77"/>
      <c r="E426" s="77"/>
      <c r="F426" s="77"/>
      <c r="G426" s="77" t="s">
        <v>806</v>
      </c>
      <c r="H426" s="94">
        <v>335</v>
      </c>
      <c r="I426" s="77" t="s">
        <v>807</v>
      </c>
      <c r="J426" s="78">
        <v>4478.95</v>
      </c>
    </row>
    <row r="427" spans="1:10" ht="15" thickTop="1" x14ac:dyDescent="0.2">
      <c r="A427" s="95"/>
      <c r="B427" s="95"/>
      <c r="C427" s="95"/>
      <c r="D427" s="95"/>
      <c r="E427" s="95"/>
      <c r="F427" s="95"/>
      <c r="G427" s="95"/>
      <c r="H427" s="95"/>
      <c r="I427" s="95"/>
      <c r="J427" s="95"/>
    </row>
    <row r="428" spans="1:10" ht="15" x14ac:dyDescent="0.2">
      <c r="A428" s="75" t="s">
        <v>168</v>
      </c>
      <c r="B428" s="17" t="s">
        <v>11</v>
      </c>
      <c r="C428" s="75" t="s">
        <v>12</v>
      </c>
      <c r="D428" s="75" t="s">
        <v>2</v>
      </c>
      <c r="E428" s="124" t="s">
        <v>779</v>
      </c>
      <c r="F428" s="124"/>
      <c r="G428" s="76" t="s">
        <v>3</v>
      </c>
      <c r="H428" s="17" t="s">
        <v>4</v>
      </c>
      <c r="I428" s="17" t="s">
        <v>13</v>
      </c>
      <c r="J428" s="17" t="s">
        <v>17</v>
      </c>
    </row>
    <row r="429" spans="1:10" ht="25.5" x14ac:dyDescent="0.2">
      <c r="A429" s="19" t="s">
        <v>780</v>
      </c>
      <c r="B429" s="20" t="s">
        <v>169</v>
      </c>
      <c r="C429" s="19" t="s">
        <v>15</v>
      </c>
      <c r="D429" s="19" t="s">
        <v>170</v>
      </c>
      <c r="E429" s="125">
        <v>11.05</v>
      </c>
      <c r="F429" s="125"/>
      <c r="G429" s="21" t="s">
        <v>50</v>
      </c>
      <c r="H429" s="86">
        <v>1</v>
      </c>
      <c r="I429" s="82">
        <v>421.36</v>
      </c>
      <c r="J429" s="82">
        <v>421.36</v>
      </c>
    </row>
    <row r="430" spans="1:10" ht="38.25" x14ac:dyDescent="0.2">
      <c r="A430" s="87" t="s">
        <v>781</v>
      </c>
      <c r="B430" s="88" t="s">
        <v>832</v>
      </c>
      <c r="C430" s="87" t="s">
        <v>15</v>
      </c>
      <c r="D430" s="87" t="s">
        <v>833</v>
      </c>
      <c r="E430" s="126" t="s">
        <v>784</v>
      </c>
      <c r="F430" s="126"/>
      <c r="G430" s="89" t="s">
        <v>785</v>
      </c>
      <c r="H430" s="90">
        <v>0.25</v>
      </c>
      <c r="I430" s="91">
        <v>22.61</v>
      </c>
      <c r="J430" s="91">
        <v>5.65</v>
      </c>
    </row>
    <row r="431" spans="1:10" ht="38.25" x14ac:dyDescent="0.2">
      <c r="A431" s="87" t="s">
        <v>781</v>
      </c>
      <c r="B431" s="88" t="s">
        <v>816</v>
      </c>
      <c r="C431" s="87" t="s">
        <v>15</v>
      </c>
      <c r="D431" s="87" t="s">
        <v>817</v>
      </c>
      <c r="E431" s="126" t="s">
        <v>784</v>
      </c>
      <c r="F431" s="126"/>
      <c r="G431" s="89" t="s">
        <v>785</v>
      </c>
      <c r="H431" s="90">
        <v>2.5</v>
      </c>
      <c r="I431" s="91">
        <v>18.57</v>
      </c>
      <c r="J431" s="91">
        <v>46.42</v>
      </c>
    </row>
    <row r="432" spans="1:10" ht="38.25" x14ac:dyDescent="0.2">
      <c r="A432" s="87" t="s">
        <v>781</v>
      </c>
      <c r="B432" s="88" t="s">
        <v>913</v>
      </c>
      <c r="C432" s="87" t="s">
        <v>15</v>
      </c>
      <c r="D432" s="87" t="s">
        <v>914</v>
      </c>
      <c r="E432" s="126" t="s">
        <v>794</v>
      </c>
      <c r="F432" s="126"/>
      <c r="G432" s="89" t="s">
        <v>134</v>
      </c>
      <c r="H432" s="90">
        <v>283</v>
      </c>
      <c r="I432" s="91">
        <v>0.6</v>
      </c>
      <c r="J432" s="91">
        <v>169.8</v>
      </c>
    </row>
    <row r="433" spans="1:10" ht="38.25" x14ac:dyDescent="0.2">
      <c r="A433" s="87" t="s">
        <v>781</v>
      </c>
      <c r="B433" s="88" t="s">
        <v>909</v>
      </c>
      <c r="C433" s="87" t="s">
        <v>15</v>
      </c>
      <c r="D433" s="87" t="s">
        <v>910</v>
      </c>
      <c r="E433" s="126" t="s">
        <v>794</v>
      </c>
      <c r="F433" s="126"/>
      <c r="G433" s="89" t="s">
        <v>134</v>
      </c>
      <c r="H433" s="90">
        <v>20</v>
      </c>
      <c r="I433" s="91">
        <v>0.88</v>
      </c>
      <c r="J433" s="91">
        <v>17.600000000000001</v>
      </c>
    </row>
    <row r="434" spans="1:10" ht="38.25" x14ac:dyDescent="0.2">
      <c r="A434" s="87" t="s">
        <v>781</v>
      </c>
      <c r="B434" s="88" t="s">
        <v>911</v>
      </c>
      <c r="C434" s="87" t="s">
        <v>15</v>
      </c>
      <c r="D434" s="87" t="s">
        <v>912</v>
      </c>
      <c r="E434" s="126" t="s">
        <v>794</v>
      </c>
      <c r="F434" s="126"/>
      <c r="G434" s="89" t="s">
        <v>50</v>
      </c>
      <c r="H434" s="90">
        <v>0.72</v>
      </c>
      <c r="I434" s="91">
        <v>167.7</v>
      </c>
      <c r="J434" s="91">
        <v>120.74</v>
      </c>
    </row>
    <row r="435" spans="1:10" ht="38.25" x14ac:dyDescent="0.2">
      <c r="A435" s="87" t="s">
        <v>781</v>
      </c>
      <c r="B435" s="88" t="s">
        <v>917</v>
      </c>
      <c r="C435" s="87" t="s">
        <v>15</v>
      </c>
      <c r="D435" s="87" t="s">
        <v>918</v>
      </c>
      <c r="E435" s="126" t="s">
        <v>794</v>
      </c>
      <c r="F435" s="126"/>
      <c r="G435" s="89" t="s">
        <v>50</v>
      </c>
      <c r="H435" s="90">
        <v>0.28000000000000003</v>
      </c>
      <c r="I435" s="91">
        <v>176.1</v>
      </c>
      <c r="J435" s="91">
        <v>49.3</v>
      </c>
    </row>
    <row r="436" spans="1:10" ht="38.25" x14ac:dyDescent="0.2">
      <c r="A436" s="87" t="s">
        <v>781</v>
      </c>
      <c r="B436" s="88" t="s">
        <v>919</v>
      </c>
      <c r="C436" s="87" t="s">
        <v>15</v>
      </c>
      <c r="D436" s="87" t="s">
        <v>920</v>
      </c>
      <c r="E436" s="126" t="s">
        <v>794</v>
      </c>
      <c r="F436" s="126"/>
      <c r="G436" s="89" t="s">
        <v>785</v>
      </c>
      <c r="H436" s="90">
        <v>0.43</v>
      </c>
      <c r="I436" s="91">
        <v>27.56</v>
      </c>
      <c r="J436" s="91">
        <v>11.85</v>
      </c>
    </row>
    <row r="437" spans="1:10" ht="38.25" x14ac:dyDescent="0.2">
      <c r="A437" s="92"/>
      <c r="B437" s="92"/>
      <c r="C437" s="92"/>
      <c r="D437" s="92"/>
      <c r="E437" s="92" t="s">
        <v>801</v>
      </c>
      <c r="F437" s="93">
        <v>52.07</v>
      </c>
      <c r="G437" s="92" t="s">
        <v>802</v>
      </c>
      <c r="H437" s="93">
        <v>0</v>
      </c>
      <c r="I437" s="92" t="s">
        <v>803</v>
      </c>
      <c r="J437" s="93">
        <v>52.07</v>
      </c>
    </row>
    <row r="438" spans="1:10" ht="38.25" x14ac:dyDescent="0.2">
      <c r="A438" s="92"/>
      <c r="B438" s="92"/>
      <c r="C438" s="92"/>
      <c r="D438" s="92"/>
      <c r="E438" s="92" t="s">
        <v>804</v>
      </c>
      <c r="F438" s="93">
        <v>121.43</v>
      </c>
      <c r="G438" s="92"/>
      <c r="H438" s="127" t="s">
        <v>805</v>
      </c>
      <c r="I438" s="127"/>
      <c r="J438" s="93">
        <v>542.79</v>
      </c>
    </row>
    <row r="439" spans="1:10" ht="15" thickBot="1" x14ac:dyDescent="0.25">
      <c r="A439" s="77"/>
      <c r="B439" s="77"/>
      <c r="C439" s="77"/>
      <c r="D439" s="77"/>
      <c r="E439" s="77"/>
      <c r="F439" s="77"/>
      <c r="G439" s="77" t="s">
        <v>806</v>
      </c>
      <c r="H439" s="94">
        <v>2.68</v>
      </c>
      <c r="I439" s="77" t="s">
        <v>807</v>
      </c>
      <c r="J439" s="78">
        <v>1454.67</v>
      </c>
    </row>
    <row r="440" spans="1:10" ht="15" thickTop="1" x14ac:dyDescent="0.2">
      <c r="A440" s="95"/>
      <c r="B440" s="95"/>
      <c r="C440" s="95"/>
      <c r="D440" s="95"/>
      <c r="E440" s="95"/>
      <c r="F440" s="95"/>
      <c r="G440" s="95"/>
      <c r="H440" s="95"/>
      <c r="I440" s="95"/>
      <c r="J440" s="95"/>
    </row>
    <row r="441" spans="1:10" x14ac:dyDescent="0.2">
      <c r="A441" s="18" t="s">
        <v>171</v>
      </c>
      <c r="B441" s="18"/>
      <c r="C441" s="18"/>
      <c r="D441" s="18" t="s">
        <v>172</v>
      </c>
      <c r="E441" s="18"/>
      <c r="F441" s="122"/>
      <c r="G441" s="122"/>
      <c r="H441" s="39"/>
      <c r="I441" s="18"/>
      <c r="J441" s="80">
        <v>20343.57</v>
      </c>
    </row>
    <row r="442" spans="1:10" ht="15" x14ac:dyDescent="0.2">
      <c r="A442" s="75" t="s">
        <v>173</v>
      </c>
      <c r="B442" s="17" t="s">
        <v>11</v>
      </c>
      <c r="C442" s="75" t="s">
        <v>12</v>
      </c>
      <c r="D442" s="75" t="s">
        <v>2</v>
      </c>
      <c r="E442" s="124" t="s">
        <v>779</v>
      </c>
      <c r="F442" s="124"/>
      <c r="G442" s="76" t="s">
        <v>3</v>
      </c>
      <c r="H442" s="17" t="s">
        <v>4</v>
      </c>
      <c r="I442" s="17" t="s">
        <v>13</v>
      </c>
      <c r="J442" s="17" t="s">
        <v>17</v>
      </c>
    </row>
    <row r="443" spans="1:10" ht="25.5" x14ac:dyDescent="0.2">
      <c r="A443" s="19" t="s">
        <v>780</v>
      </c>
      <c r="B443" s="20" t="s">
        <v>174</v>
      </c>
      <c r="C443" s="19" t="s">
        <v>15</v>
      </c>
      <c r="D443" s="19" t="s">
        <v>175</v>
      </c>
      <c r="E443" s="125">
        <v>25.01</v>
      </c>
      <c r="F443" s="125"/>
      <c r="G443" s="21" t="s">
        <v>5</v>
      </c>
      <c r="H443" s="86">
        <v>1</v>
      </c>
      <c r="I443" s="82">
        <v>988.67</v>
      </c>
      <c r="J443" s="82">
        <v>988.67</v>
      </c>
    </row>
    <row r="444" spans="1:10" ht="38.25" x14ac:dyDescent="0.2">
      <c r="A444" s="87" t="s">
        <v>781</v>
      </c>
      <c r="B444" s="88" t="s">
        <v>832</v>
      </c>
      <c r="C444" s="87" t="s">
        <v>15</v>
      </c>
      <c r="D444" s="87" t="s">
        <v>833</v>
      </c>
      <c r="E444" s="126" t="s">
        <v>784</v>
      </c>
      <c r="F444" s="126"/>
      <c r="G444" s="89" t="s">
        <v>785</v>
      </c>
      <c r="H444" s="90">
        <v>1.5</v>
      </c>
      <c r="I444" s="91">
        <v>22.61</v>
      </c>
      <c r="J444" s="91">
        <v>33.909999999999997</v>
      </c>
    </row>
    <row r="445" spans="1:10" ht="38.25" x14ac:dyDescent="0.2">
      <c r="A445" s="87" t="s">
        <v>781</v>
      </c>
      <c r="B445" s="88" t="s">
        <v>816</v>
      </c>
      <c r="C445" s="87" t="s">
        <v>15</v>
      </c>
      <c r="D445" s="87" t="s">
        <v>817</v>
      </c>
      <c r="E445" s="126" t="s">
        <v>784</v>
      </c>
      <c r="F445" s="126"/>
      <c r="G445" s="89" t="s">
        <v>785</v>
      </c>
      <c r="H445" s="90">
        <v>1.5</v>
      </c>
      <c r="I445" s="91">
        <v>18.57</v>
      </c>
      <c r="J445" s="91">
        <v>27.85</v>
      </c>
    </row>
    <row r="446" spans="1:10" ht="38.25" x14ac:dyDescent="0.2">
      <c r="A446" s="87" t="s">
        <v>781</v>
      </c>
      <c r="B446" s="88" t="s">
        <v>911</v>
      </c>
      <c r="C446" s="87" t="s">
        <v>15</v>
      </c>
      <c r="D446" s="87" t="s">
        <v>912</v>
      </c>
      <c r="E446" s="126" t="s">
        <v>794</v>
      </c>
      <c r="F446" s="126"/>
      <c r="G446" s="89" t="s">
        <v>50</v>
      </c>
      <c r="H446" s="90">
        <v>9.1000000000000004E-3</v>
      </c>
      <c r="I446" s="91">
        <v>167.7</v>
      </c>
      <c r="J446" s="91">
        <v>1.52</v>
      </c>
    </row>
    <row r="447" spans="1:10" ht="38.25" x14ac:dyDescent="0.2">
      <c r="A447" s="87" t="s">
        <v>781</v>
      </c>
      <c r="B447" s="88" t="s">
        <v>913</v>
      </c>
      <c r="C447" s="87" t="s">
        <v>15</v>
      </c>
      <c r="D447" s="87" t="s">
        <v>914</v>
      </c>
      <c r="E447" s="126" t="s">
        <v>794</v>
      </c>
      <c r="F447" s="126"/>
      <c r="G447" s="89" t="s">
        <v>134</v>
      </c>
      <c r="H447" s="90">
        <v>3.9260000000000002</v>
      </c>
      <c r="I447" s="91">
        <v>0.6</v>
      </c>
      <c r="J447" s="91">
        <v>2.35</v>
      </c>
    </row>
    <row r="448" spans="1:10" ht="38.25" x14ac:dyDescent="0.2">
      <c r="A448" s="87" t="s">
        <v>781</v>
      </c>
      <c r="B448" s="88" t="s">
        <v>921</v>
      </c>
      <c r="C448" s="87" t="s">
        <v>15</v>
      </c>
      <c r="D448" s="87" t="s">
        <v>922</v>
      </c>
      <c r="E448" s="126" t="s">
        <v>794</v>
      </c>
      <c r="F448" s="126"/>
      <c r="G448" s="89" t="s">
        <v>5</v>
      </c>
      <c r="H448" s="90">
        <v>1</v>
      </c>
      <c r="I448" s="91">
        <v>923.04</v>
      </c>
      <c r="J448" s="91">
        <v>923.04</v>
      </c>
    </row>
    <row r="449" spans="1:10" ht="38.25" x14ac:dyDescent="0.2">
      <c r="A449" s="92"/>
      <c r="B449" s="92"/>
      <c r="C449" s="92"/>
      <c r="D449" s="92"/>
      <c r="E449" s="92" t="s">
        <v>801</v>
      </c>
      <c r="F449" s="93">
        <v>61.76</v>
      </c>
      <c r="G449" s="92" t="s">
        <v>802</v>
      </c>
      <c r="H449" s="93">
        <v>0</v>
      </c>
      <c r="I449" s="92" t="s">
        <v>803</v>
      </c>
      <c r="J449" s="93">
        <v>61.76</v>
      </c>
    </row>
    <row r="450" spans="1:10" ht="38.25" x14ac:dyDescent="0.2">
      <c r="A450" s="92"/>
      <c r="B450" s="92"/>
      <c r="C450" s="92"/>
      <c r="D450" s="92"/>
      <c r="E450" s="92" t="s">
        <v>804</v>
      </c>
      <c r="F450" s="93">
        <v>284.93</v>
      </c>
      <c r="G450" s="92"/>
      <c r="H450" s="127" t="s">
        <v>805</v>
      </c>
      <c r="I450" s="127"/>
      <c r="J450" s="93">
        <v>1273.5999999999999</v>
      </c>
    </row>
    <row r="451" spans="1:10" ht="15" thickBot="1" x14ac:dyDescent="0.25">
      <c r="A451" s="77"/>
      <c r="B451" s="77"/>
      <c r="C451" s="77"/>
      <c r="D451" s="77"/>
      <c r="E451" s="77"/>
      <c r="F451" s="77"/>
      <c r="G451" s="77" t="s">
        <v>806</v>
      </c>
      <c r="H451" s="94">
        <v>0.36</v>
      </c>
      <c r="I451" s="77" t="s">
        <v>807</v>
      </c>
      <c r="J451" s="78">
        <v>458.49</v>
      </c>
    </row>
    <row r="452" spans="1:10" ht="15" thickTop="1" x14ac:dyDescent="0.2">
      <c r="A452" s="95"/>
      <c r="B452" s="95"/>
      <c r="C452" s="95"/>
      <c r="D452" s="95"/>
      <c r="E452" s="95"/>
      <c r="F452" s="95"/>
      <c r="G452" s="95"/>
      <c r="H452" s="95"/>
      <c r="I452" s="95"/>
      <c r="J452" s="95"/>
    </row>
    <row r="453" spans="1:10" ht="15" x14ac:dyDescent="0.2">
      <c r="A453" s="75" t="s">
        <v>176</v>
      </c>
      <c r="B453" s="17" t="s">
        <v>11</v>
      </c>
      <c r="C453" s="75" t="s">
        <v>12</v>
      </c>
      <c r="D453" s="75" t="s">
        <v>2</v>
      </c>
      <c r="E453" s="124" t="s">
        <v>779</v>
      </c>
      <c r="F453" s="124"/>
      <c r="G453" s="76" t="s">
        <v>3</v>
      </c>
      <c r="H453" s="17" t="s">
        <v>4</v>
      </c>
      <c r="I453" s="17" t="s">
        <v>13</v>
      </c>
      <c r="J453" s="17" t="s">
        <v>17</v>
      </c>
    </row>
    <row r="454" spans="1:10" ht="25.5" x14ac:dyDescent="0.2">
      <c r="A454" s="19" t="s">
        <v>780</v>
      </c>
      <c r="B454" s="20" t="s">
        <v>177</v>
      </c>
      <c r="C454" s="19" t="s">
        <v>15</v>
      </c>
      <c r="D454" s="19" t="s">
        <v>178</v>
      </c>
      <c r="E454" s="125">
        <v>25.01</v>
      </c>
      <c r="F454" s="125"/>
      <c r="G454" s="21" t="s">
        <v>5</v>
      </c>
      <c r="H454" s="86">
        <v>1</v>
      </c>
      <c r="I454" s="82">
        <v>1180.4000000000001</v>
      </c>
      <c r="J454" s="82">
        <v>1180.4000000000001</v>
      </c>
    </row>
    <row r="455" spans="1:10" ht="38.25" x14ac:dyDescent="0.2">
      <c r="A455" s="87" t="s">
        <v>781</v>
      </c>
      <c r="B455" s="88" t="s">
        <v>832</v>
      </c>
      <c r="C455" s="87" t="s">
        <v>15</v>
      </c>
      <c r="D455" s="87" t="s">
        <v>833</v>
      </c>
      <c r="E455" s="126" t="s">
        <v>784</v>
      </c>
      <c r="F455" s="126"/>
      <c r="G455" s="89" t="s">
        <v>785</v>
      </c>
      <c r="H455" s="90">
        <v>1.5</v>
      </c>
      <c r="I455" s="91">
        <v>22.61</v>
      </c>
      <c r="J455" s="91">
        <v>33.909999999999997</v>
      </c>
    </row>
    <row r="456" spans="1:10" ht="38.25" x14ac:dyDescent="0.2">
      <c r="A456" s="87" t="s">
        <v>781</v>
      </c>
      <c r="B456" s="88" t="s">
        <v>816</v>
      </c>
      <c r="C456" s="87" t="s">
        <v>15</v>
      </c>
      <c r="D456" s="87" t="s">
        <v>817</v>
      </c>
      <c r="E456" s="126" t="s">
        <v>784</v>
      </c>
      <c r="F456" s="126"/>
      <c r="G456" s="89" t="s">
        <v>785</v>
      </c>
      <c r="H456" s="90">
        <v>0.73</v>
      </c>
      <c r="I456" s="91">
        <v>18.57</v>
      </c>
      <c r="J456" s="91">
        <v>13.55</v>
      </c>
    </row>
    <row r="457" spans="1:10" ht="38.25" x14ac:dyDescent="0.2">
      <c r="A457" s="87" t="s">
        <v>781</v>
      </c>
      <c r="B457" s="88" t="s">
        <v>923</v>
      </c>
      <c r="C457" s="87" t="s">
        <v>15</v>
      </c>
      <c r="D457" s="87" t="s">
        <v>924</v>
      </c>
      <c r="E457" s="126" t="s">
        <v>794</v>
      </c>
      <c r="F457" s="126"/>
      <c r="G457" s="89" t="s">
        <v>5</v>
      </c>
      <c r="H457" s="90">
        <v>1</v>
      </c>
      <c r="I457" s="91">
        <v>1128.29</v>
      </c>
      <c r="J457" s="91">
        <v>1128.29</v>
      </c>
    </row>
    <row r="458" spans="1:10" ht="38.25" x14ac:dyDescent="0.2">
      <c r="A458" s="87" t="s">
        <v>781</v>
      </c>
      <c r="B458" s="88" t="s">
        <v>925</v>
      </c>
      <c r="C458" s="87" t="s">
        <v>15</v>
      </c>
      <c r="D458" s="87" t="s">
        <v>926</v>
      </c>
      <c r="E458" s="126" t="s">
        <v>794</v>
      </c>
      <c r="F458" s="126"/>
      <c r="G458" s="89" t="s">
        <v>50</v>
      </c>
      <c r="H458" s="90">
        <v>6.4999999999999997E-3</v>
      </c>
      <c r="I458" s="91">
        <v>716.17</v>
      </c>
      <c r="J458" s="91">
        <v>4.6500000000000004</v>
      </c>
    </row>
    <row r="459" spans="1:10" ht="38.25" x14ac:dyDescent="0.2">
      <c r="A459" s="92"/>
      <c r="B459" s="92"/>
      <c r="C459" s="92"/>
      <c r="D459" s="92"/>
      <c r="E459" s="92" t="s">
        <v>801</v>
      </c>
      <c r="F459" s="93">
        <v>47.46</v>
      </c>
      <c r="G459" s="92" t="s">
        <v>802</v>
      </c>
      <c r="H459" s="93">
        <v>0</v>
      </c>
      <c r="I459" s="92" t="s">
        <v>803</v>
      </c>
      <c r="J459" s="93">
        <v>47.46</v>
      </c>
    </row>
    <row r="460" spans="1:10" ht="38.25" x14ac:dyDescent="0.2">
      <c r="A460" s="92"/>
      <c r="B460" s="92"/>
      <c r="C460" s="92"/>
      <c r="D460" s="92"/>
      <c r="E460" s="92" t="s">
        <v>804</v>
      </c>
      <c r="F460" s="93">
        <v>340.19</v>
      </c>
      <c r="G460" s="92"/>
      <c r="H460" s="127" t="s">
        <v>805</v>
      </c>
      <c r="I460" s="127"/>
      <c r="J460" s="93">
        <v>1520.59</v>
      </c>
    </row>
    <row r="461" spans="1:10" ht="15" thickBot="1" x14ac:dyDescent="0.25">
      <c r="A461" s="77"/>
      <c r="B461" s="77"/>
      <c r="C461" s="77"/>
      <c r="D461" s="77"/>
      <c r="E461" s="77"/>
      <c r="F461" s="77"/>
      <c r="G461" s="77" t="s">
        <v>806</v>
      </c>
      <c r="H461" s="94">
        <v>1.9</v>
      </c>
      <c r="I461" s="77" t="s">
        <v>807</v>
      </c>
      <c r="J461" s="78">
        <v>2889.12</v>
      </c>
    </row>
    <row r="462" spans="1:10" ht="15" thickTop="1" x14ac:dyDescent="0.2">
      <c r="A462" s="95"/>
      <c r="B462" s="95"/>
      <c r="C462" s="95"/>
      <c r="D462" s="95"/>
      <c r="E462" s="95"/>
      <c r="F462" s="95"/>
      <c r="G462" s="95"/>
      <c r="H462" s="95"/>
      <c r="I462" s="95"/>
      <c r="J462" s="95"/>
    </row>
    <row r="463" spans="1:10" ht="15" x14ac:dyDescent="0.2">
      <c r="A463" s="75" t="s">
        <v>179</v>
      </c>
      <c r="B463" s="17" t="s">
        <v>11</v>
      </c>
      <c r="C463" s="75" t="s">
        <v>12</v>
      </c>
      <c r="D463" s="75" t="s">
        <v>2</v>
      </c>
      <c r="E463" s="124" t="s">
        <v>779</v>
      </c>
      <c r="F463" s="124"/>
      <c r="G463" s="76" t="s">
        <v>3</v>
      </c>
      <c r="H463" s="17" t="s">
        <v>4</v>
      </c>
      <c r="I463" s="17" t="s">
        <v>13</v>
      </c>
      <c r="J463" s="17" t="s">
        <v>17</v>
      </c>
    </row>
    <row r="464" spans="1:10" ht="25.5" x14ac:dyDescent="0.2">
      <c r="A464" s="19" t="s">
        <v>780</v>
      </c>
      <c r="B464" s="20" t="s">
        <v>180</v>
      </c>
      <c r="C464" s="19" t="s">
        <v>15</v>
      </c>
      <c r="D464" s="19" t="s">
        <v>181</v>
      </c>
      <c r="E464" s="125">
        <v>25.01</v>
      </c>
      <c r="F464" s="125"/>
      <c r="G464" s="21" t="s">
        <v>5</v>
      </c>
      <c r="H464" s="86">
        <v>1</v>
      </c>
      <c r="I464" s="82">
        <v>829.85</v>
      </c>
      <c r="J464" s="82">
        <v>829.85</v>
      </c>
    </row>
    <row r="465" spans="1:10" ht="38.25" x14ac:dyDescent="0.2">
      <c r="A465" s="87" t="s">
        <v>781</v>
      </c>
      <c r="B465" s="88" t="s">
        <v>832</v>
      </c>
      <c r="C465" s="87" t="s">
        <v>15</v>
      </c>
      <c r="D465" s="87" t="s">
        <v>833</v>
      </c>
      <c r="E465" s="126" t="s">
        <v>784</v>
      </c>
      <c r="F465" s="126"/>
      <c r="G465" s="89" t="s">
        <v>785</v>
      </c>
      <c r="H465" s="90">
        <v>1.5</v>
      </c>
      <c r="I465" s="91">
        <v>22.61</v>
      </c>
      <c r="J465" s="91">
        <v>33.909999999999997</v>
      </c>
    </row>
    <row r="466" spans="1:10" ht="38.25" x14ac:dyDescent="0.2">
      <c r="A466" s="87" t="s">
        <v>781</v>
      </c>
      <c r="B466" s="88" t="s">
        <v>816</v>
      </c>
      <c r="C466" s="87" t="s">
        <v>15</v>
      </c>
      <c r="D466" s="87" t="s">
        <v>817</v>
      </c>
      <c r="E466" s="126" t="s">
        <v>784</v>
      </c>
      <c r="F466" s="126"/>
      <c r="G466" s="89" t="s">
        <v>785</v>
      </c>
      <c r="H466" s="90">
        <v>1.5</v>
      </c>
      <c r="I466" s="91">
        <v>18.57</v>
      </c>
      <c r="J466" s="91">
        <v>27.85</v>
      </c>
    </row>
    <row r="467" spans="1:10" ht="38.25" x14ac:dyDescent="0.2">
      <c r="A467" s="87" t="s">
        <v>781</v>
      </c>
      <c r="B467" s="88" t="s">
        <v>913</v>
      </c>
      <c r="C467" s="87" t="s">
        <v>15</v>
      </c>
      <c r="D467" s="87" t="s">
        <v>914</v>
      </c>
      <c r="E467" s="126" t="s">
        <v>794</v>
      </c>
      <c r="F467" s="126"/>
      <c r="G467" s="89" t="s">
        <v>134</v>
      </c>
      <c r="H467" s="90">
        <v>3.9260000000000002</v>
      </c>
      <c r="I467" s="91">
        <v>0.6</v>
      </c>
      <c r="J467" s="91">
        <v>2.35</v>
      </c>
    </row>
    <row r="468" spans="1:10" ht="38.25" x14ac:dyDescent="0.2">
      <c r="A468" s="87" t="s">
        <v>781</v>
      </c>
      <c r="B468" s="88" t="s">
        <v>911</v>
      </c>
      <c r="C468" s="87" t="s">
        <v>15</v>
      </c>
      <c r="D468" s="87" t="s">
        <v>912</v>
      </c>
      <c r="E468" s="126" t="s">
        <v>794</v>
      </c>
      <c r="F468" s="126"/>
      <c r="G468" s="89" t="s">
        <v>50</v>
      </c>
      <c r="H468" s="90">
        <v>9.1000000000000004E-3</v>
      </c>
      <c r="I468" s="91">
        <v>167.7</v>
      </c>
      <c r="J468" s="91">
        <v>1.52</v>
      </c>
    </row>
    <row r="469" spans="1:10" ht="38.25" x14ac:dyDescent="0.2">
      <c r="A469" s="87" t="s">
        <v>781</v>
      </c>
      <c r="B469" s="88" t="s">
        <v>927</v>
      </c>
      <c r="C469" s="87" t="s">
        <v>15</v>
      </c>
      <c r="D469" s="87" t="s">
        <v>928</v>
      </c>
      <c r="E469" s="126" t="s">
        <v>794</v>
      </c>
      <c r="F469" s="126"/>
      <c r="G469" s="89" t="s">
        <v>5</v>
      </c>
      <c r="H469" s="90">
        <v>1</v>
      </c>
      <c r="I469" s="91">
        <v>764.22</v>
      </c>
      <c r="J469" s="91">
        <v>764.22</v>
      </c>
    </row>
    <row r="470" spans="1:10" ht="38.25" x14ac:dyDescent="0.2">
      <c r="A470" s="92"/>
      <c r="B470" s="92"/>
      <c r="C470" s="92"/>
      <c r="D470" s="92"/>
      <c r="E470" s="92" t="s">
        <v>801</v>
      </c>
      <c r="F470" s="93">
        <v>61.76</v>
      </c>
      <c r="G470" s="92" t="s">
        <v>802</v>
      </c>
      <c r="H470" s="93">
        <v>0</v>
      </c>
      <c r="I470" s="92" t="s">
        <v>803</v>
      </c>
      <c r="J470" s="93">
        <v>61.76</v>
      </c>
    </row>
    <row r="471" spans="1:10" ht="38.25" x14ac:dyDescent="0.2">
      <c r="A471" s="92"/>
      <c r="B471" s="92"/>
      <c r="C471" s="92"/>
      <c r="D471" s="92"/>
      <c r="E471" s="92" t="s">
        <v>804</v>
      </c>
      <c r="F471" s="93">
        <v>239.16</v>
      </c>
      <c r="G471" s="92"/>
      <c r="H471" s="127" t="s">
        <v>805</v>
      </c>
      <c r="I471" s="127"/>
      <c r="J471" s="93">
        <v>1069.01</v>
      </c>
    </row>
    <row r="472" spans="1:10" ht="15" thickBot="1" x14ac:dyDescent="0.25">
      <c r="A472" s="77"/>
      <c r="B472" s="77"/>
      <c r="C472" s="77"/>
      <c r="D472" s="77"/>
      <c r="E472" s="77"/>
      <c r="F472" s="77"/>
      <c r="G472" s="77" t="s">
        <v>806</v>
      </c>
      <c r="H472" s="94">
        <v>2.4</v>
      </c>
      <c r="I472" s="77" t="s">
        <v>807</v>
      </c>
      <c r="J472" s="78">
        <v>2565.62</v>
      </c>
    </row>
    <row r="473" spans="1:10" ht="15" thickTop="1" x14ac:dyDescent="0.2">
      <c r="A473" s="95"/>
      <c r="B473" s="95"/>
      <c r="C473" s="95"/>
      <c r="D473" s="95"/>
      <c r="E473" s="95"/>
      <c r="F473" s="95"/>
      <c r="G473" s="95"/>
      <c r="H473" s="95"/>
      <c r="I473" s="95"/>
      <c r="J473" s="95"/>
    </row>
    <row r="474" spans="1:10" ht="15" x14ac:dyDescent="0.2">
      <c r="A474" s="75" t="s">
        <v>182</v>
      </c>
      <c r="B474" s="17" t="s">
        <v>11</v>
      </c>
      <c r="C474" s="75" t="s">
        <v>12</v>
      </c>
      <c r="D474" s="75" t="s">
        <v>2</v>
      </c>
      <c r="E474" s="124" t="s">
        <v>779</v>
      </c>
      <c r="F474" s="124"/>
      <c r="G474" s="76" t="s">
        <v>3</v>
      </c>
      <c r="H474" s="17" t="s">
        <v>4</v>
      </c>
      <c r="I474" s="17" t="s">
        <v>13</v>
      </c>
      <c r="J474" s="17" t="s">
        <v>17</v>
      </c>
    </row>
    <row r="475" spans="1:10" ht="25.5" x14ac:dyDescent="0.2">
      <c r="A475" s="19" t="s">
        <v>780</v>
      </c>
      <c r="B475" s="20" t="s">
        <v>183</v>
      </c>
      <c r="C475" s="19" t="s">
        <v>15</v>
      </c>
      <c r="D475" s="19" t="s">
        <v>184</v>
      </c>
      <c r="E475" s="125">
        <v>26.02</v>
      </c>
      <c r="F475" s="125"/>
      <c r="G475" s="21" t="s">
        <v>5</v>
      </c>
      <c r="H475" s="86">
        <v>1</v>
      </c>
      <c r="I475" s="82">
        <v>254.55</v>
      </c>
      <c r="J475" s="82">
        <v>254.55</v>
      </c>
    </row>
    <row r="476" spans="1:10" ht="38.25" x14ac:dyDescent="0.2">
      <c r="A476" s="87" t="s">
        <v>781</v>
      </c>
      <c r="B476" s="88" t="s">
        <v>816</v>
      </c>
      <c r="C476" s="87" t="s">
        <v>15</v>
      </c>
      <c r="D476" s="87" t="s">
        <v>817</v>
      </c>
      <c r="E476" s="126" t="s">
        <v>784</v>
      </c>
      <c r="F476" s="126"/>
      <c r="G476" s="89" t="s">
        <v>785</v>
      </c>
      <c r="H476" s="90">
        <v>0.5</v>
      </c>
      <c r="I476" s="91">
        <v>18.57</v>
      </c>
      <c r="J476" s="91">
        <v>9.2799999999999994</v>
      </c>
    </row>
    <row r="477" spans="1:10" ht="38.25" x14ac:dyDescent="0.2">
      <c r="A477" s="87" t="s">
        <v>781</v>
      </c>
      <c r="B477" s="88" t="s">
        <v>929</v>
      </c>
      <c r="C477" s="87" t="s">
        <v>15</v>
      </c>
      <c r="D477" s="87" t="s">
        <v>930</v>
      </c>
      <c r="E477" s="126" t="s">
        <v>784</v>
      </c>
      <c r="F477" s="126"/>
      <c r="G477" s="89" t="s">
        <v>785</v>
      </c>
      <c r="H477" s="90">
        <v>0.75</v>
      </c>
      <c r="I477" s="91">
        <v>27.08</v>
      </c>
      <c r="J477" s="91">
        <v>20.309999999999999</v>
      </c>
    </row>
    <row r="478" spans="1:10" ht="38.25" x14ac:dyDescent="0.2">
      <c r="A478" s="87" t="s">
        <v>781</v>
      </c>
      <c r="B478" s="88" t="s">
        <v>931</v>
      </c>
      <c r="C478" s="87" t="s">
        <v>15</v>
      </c>
      <c r="D478" s="87" t="s">
        <v>932</v>
      </c>
      <c r="E478" s="126" t="s">
        <v>794</v>
      </c>
      <c r="F478" s="126"/>
      <c r="G478" s="89" t="s">
        <v>5</v>
      </c>
      <c r="H478" s="90">
        <v>1</v>
      </c>
      <c r="I478" s="91">
        <v>191.48</v>
      </c>
      <c r="J478" s="91">
        <v>191.48</v>
      </c>
    </row>
    <row r="479" spans="1:10" ht="38.25" x14ac:dyDescent="0.2">
      <c r="A479" s="87" t="s">
        <v>781</v>
      </c>
      <c r="B479" s="88" t="s">
        <v>933</v>
      </c>
      <c r="C479" s="87" t="s">
        <v>15</v>
      </c>
      <c r="D479" s="87" t="s">
        <v>934</v>
      </c>
      <c r="E479" s="126" t="s">
        <v>794</v>
      </c>
      <c r="F479" s="126"/>
      <c r="G479" s="89" t="s">
        <v>32</v>
      </c>
      <c r="H479" s="90">
        <v>0.26500000000000001</v>
      </c>
      <c r="I479" s="91">
        <v>21.89</v>
      </c>
      <c r="J479" s="91">
        <v>5.8</v>
      </c>
    </row>
    <row r="480" spans="1:10" ht="38.25" x14ac:dyDescent="0.2">
      <c r="A480" s="87" t="s">
        <v>781</v>
      </c>
      <c r="B480" s="88" t="s">
        <v>935</v>
      </c>
      <c r="C480" s="87" t="s">
        <v>15</v>
      </c>
      <c r="D480" s="87" t="s">
        <v>936</v>
      </c>
      <c r="E480" s="126" t="s">
        <v>794</v>
      </c>
      <c r="F480" s="126"/>
      <c r="G480" s="89" t="s">
        <v>78</v>
      </c>
      <c r="H480" s="90">
        <v>2.0495999999999999</v>
      </c>
      <c r="I480" s="91">
        <v>13.3</v>
      </c>
      <c r="J480" s="91">
        <v>27.25</v>
      </c>
    </row>
    <row r="481" spans="1:10" ht="38.25" x14ac:dyDescent="0.2">
      <c r="A481" s="87" t="s">
        <v>781</v>
      </c>
      <c r="B481" s="88" t="s">
        <v>937</v>
      </c>
      <c r="C481" s="87" t="s">
        <v>15</v>
      </c>
      <c r="D481" s="87" t="s">
        <v>938</v>
      </c>
      <c r="E481" s="126" t="s">
        <v>794</v>
      </c>
      <c r="F481" s="126"/>
      <c r="G481" s="89" t="s">
        <v>32</v>
      </c>
      <c r="H481" s="90">
        <v>5.9799999999999999E-2</v>
      </c>
      <c r="I481" s="91">
        <v>7.34</v>
      </c>
      <c r="J481" s="91">
        <v>0.43</v>
      </c>
    </row>
    <row r="482" spans="1:10" ht="38.25" x14ac:dyDescent="0.2">
      <c r="A482" s="92"/>
      <c r="B482" s="92"/>
      <c r="C482" s="92"/>
      <c r="D482" s="92"/>
      <c r="E482" s="92" t="s">
        <v>801</v>
      </c>
      <c r="F482" s="93">
        <v>29.59</v>
      </c>
      <c r="G482" s="92" t="s">
        <v>802</v>
      </c>
      <c r="H482" s="93">
        <v>0</v>
      </c>
      <c r="I482" s="92" t="s">
        <v>803</v>
      </c>
      <c r="J482" s="93">
        <v>29.59</v>
      </c>
    </row>
    <row r="483" spans="1:10" ht="38.25" x14ac:dyDescent="0.2">
      <c r="A483" s="92"/>
      <c r="B483" s="92"/>
      <c r="C483" s="92"/>
      <c r="D483" s="92"/>
      <c r="E483" s="92" t="s">
        <v>804</v>
      </c>
      <c r="F483" s="93">
        <v>73.36</v>
      </c>
      <c r="G483" s="92"/>
      <c r="H483" s="127" t="s">
        <v>805</v>
      </c>
      <c r="I483" s="127"/>
      <c r="J483" s="93">
        <v>327.91</v>
      </c>
    </row>
    <row r="484" spans="1:10" ht="15" thickBot="1" x14ac:dyDescent="0.25">
      <c r="A484" s="77"/>
      <c r="B484" s="77"/>
      <c r="C484" s="77"/>
      <c r="D484" s="77"/>
      <c r="E484" s="77"/>
      <c r="F484" s="77"/>
      <c r="G484" s="77" t="s">
        <v>806</v>
      </c>
      <c r="H484" s="94">
        <v>2.76</v>
      </c>
      <c r="I484" s="77" t="s">
        <v>807</v>
      </c>
      <c r="J484" s="78">
        <v>905.03</v>
      </c>
    </row>
    <row r="485" spans="1:10" ht="15" thickTop="1" x14ac:dyDescent="0.2">
      <c r="A485" s="95"/>
      <c r="B485" s="95"/>
      <c r="C485" s="95"/>
      <c r="D485" s="95"/>
      <c r="E485" s="95"/>
      <c r="F485" s="95"/>
      <c r="G485" s="95"/>
      <c r="H485" s="95"/>
      <c r="I485" s="95"/>
      <c r="J485" s="95"/>
    </row>
    <row r="486" spans="1:10" ht="15" x14ac:dyDescent="0.2">
      <c r="A486" s="75" t="s">
        <v>185</v>
      </c>
      <c r="B486" s="17" t="s">
        <v>11</v>
      </c>
      <c r="C486" s="75" t="s">
        <v>12</v>
      </c>
      <c r="D486" s="75" t="s">
        <v>2</v>
      </c>
      <c r="E486" s="124" t="s">
        <v>779</v>
      </c>
      <c r="F486" s="124"/>
      <c r="G486" s="76" t="s">
        <v>3</v>
      </c>
      <c r="H486" s="17" t="s">
        <v>4</v>
      </c>
      <c r="I486" s="17" t="s">
        <v>13</v>
      </c>
      <c r="J486" s="17" t="s">
        <v>17</v>
      </c>
    </row>
    <row r="487" spans="1:10" ht="25.5" x14ac:dyDescent="0.2">
      <c r="A487" s="19" t="s">
        <v>780</v>
      </c>
      <c r="B487" s="20" t="s">
        <v>186</v>
      </c>
      <c r="C487" s="19" t="s">
        <v>15</v>
      </c>
      <c r="D487" s="19" t="s">
        <v>187</v>
      </c>
      <c r="E487" s="125">
        <v>26.03</v>
      </c>
      <c r="F487" s="125"/>
      <c r="G487" s="21" t="s">
        <v>5</v>
      </c>
      <c r="H487" s="86">
        <v>1</v>
      </c>
      <c r="I487" s="82">
        <v>367.91</v>
      </c>
      <c r="J487" s="82">
        <v>367.91</v>
      </c>
    </row>
    <row r="488" spans="1:10" ht="38.25" x14ac:dyDescent="0.2">
      <c r="A488" s="87" t="s">
        <v>781</v>
      </c>
      <c r="B488" s="88" t="s">
        <v>929</v>
      </c>
      <c r="C488" s="87" t="s">
        <v>15</v>
      </c>
      <c r="D488" s="87" t="s">
        <v>930</v>
      </c>
      <c r="E488" s="126" t="s">
        <v>784</v>
      </c>
      <c r="F488" s="126"/>
      <c r="G488" s="89" t="s">
        <v>785</v>
      </c>
      <c r="H488" s="90">
        <v>0.75</v>
      </c>
      <c r="I488" s="91">
        <v>27.08</v>
      </c>
      <c r="J488" s="91">
        <v>20.309999999999999</v>
      </c>
    </row>
    <row r="489" spans="1:10" ht="38.25" x14ac:dyDescent="0.2">
      <c r="A489" s="87" t="s">
        <v>781</v>
      </c>
      <c r="B489" s="88" t="s">
        <v>816</v>
      </c>
      <c r="C489" s="87" t="s">
        <v>15</v>
      </c>
      <c r="D489" s="87" t="s">
        <v>817</v>
      </c>
      <c r="E489" s="126" t="s">
        <v>784</v>
      </c>
      <c r="F489" s="126"/>
      <c r="G489" s="89" t="s">
        <v>785</v>
      </c>
      <c r="H489" s="90">
        <v>0.5</v>
      </c>
      <c r="I489" s="91">
        <v>18.57</v>
      </c>
      <c r="J489" s="91">
        <v>9.2799999999999994</v>
      </c>
    </row>
    <row r="490" spans="1:10" ht="38.25" x14ac:dyDescent="0.2">
      <c r="A490" s="87" t="s">
        <v>781</v>
      </c>
      <c r="B490" s="88" t="s">
        <v>939</v>
      </c>
      <c r="C490" s="87" t="s">
        <v>15</v>
      </c>
      <c r="D490" s="87" t="s">
        <v>940</v>
      </c>
      <c r="E490" s="126" t="s">
        <v>794</v>
      </c>
      <c r="F490" s="126"/>
      <c r="G490" s="89" t="s">
        <v>5</v>
      </c>
      <c r="H490" s="90">
        <v>1</v>
      </c>
      <c r="I490" s="91">
        <v>304.83999999999997</v>
      </c>
      <c r="J490" s="91">
        <v>304.83999999999997</v>
      </c>
    </row>
    <row r="491" spans="1:10" ht="38.25" x14ac:dyDescent="0.2">
      <c r="A491" s="87" t="s">
        <v>781</v>
      </c>
      <c r="B491" s="88" t="s">
        <v>933</v>
      </c>
      <c r="C491" s="87" t="s">
        <v>15</v>
      </c>
      <c r="D491" s="87" t="s">
        <v>934</v>
      </c>
      <c r="E491" s="126" t="s">
        <v>794</v>
      </c>
      <c r="F491" s="126"/>
      <c r="G491" s="89" t="s">
        <v>32</v>
      </c>
      <c r="H491" s="90">
        <v>0.26500000000000001</v>
      </c>
      <c r="I491" s="91">
        <v>21.89</v>
      </c>
      <c r="J491" s="91">
        <v>5.8</v>
      </c>
    </row>
    <row r="492" spans="1:10" ht="38.25" x14ac:dyDescent="0.2">
      <c r="A492" s="87" t="s">
        <v>781</v>
      </c>
      <c r="B492" s="88" t="s">
        <v>935</v>
      </c>
      <c r="C492" s="87" t="s">
        <v>15</v>
      </c>
      <c r="D492" s="87" t="s">
        <v>936</v>
      </c>
      <c r="E492" s="126" t="s">
        <v>794</v>
      </c>
      <c r="F492" s="126"/>
      <c r="G492" s="89" t="s">
        <v>78</v>
      </c>
      <c r="H492" s="90">
        <v>2.0495999999999999</v>
      </c>
      <c r="I492" s="91">
        <v>13.3</v>
      </c>
      <c r="J492" s="91">
        <v>27.25</v>
      </c>
    </row>
    <row r="493" spans="1:10" ht="38.25" x14ac:dyDescent="0.2">
      <c r="A493" s="87" t="s">
        <v>781</v>
      </c>
      <c r="B493" s="88" t="s">
        <v>937</v>
      </c>
      <c r="C493" s="87" t="s">
        <v>15</v>
      </c>
      <c r="D493" s="87" t="s">
        <v>938</v>
      </c>
      <c r="E493" s="126" t="s">
        <v>794</v>
      </c>
      <c r="F493" s="126"/>
      <c r="G493" s="89" t="s">
        <v>32</v>
      </c>
      <c r="H493" s="90">
        <v>5.9799999999999999E-2</v>
      </c>
      <c r="I493" s="91">
        <v>7.34</v>
      </c>
      <c r="J493" s="91">
        <v>0.43</v>
      </c>
    </row>
    <row r="494" spans="1:10" ht="38.25" x14ac:dyDescent="0.2">
      <c r="A494" s="92"/>
      <c r="B494" s="92"/>
      <c r="C494" s="92"/>
      <c r="D494" s="92"/>
      <c r="E494" s="92" t="s">
        <v>801</v>
      </c>
      <c r="F494" s="93">
        <v>29.59</v>
      </c>
      <c r="G494" s="92" t="s">
        <v>802</v>
      </c>
      <c r="H494" s="93">
        <v>0</v>
      </c>
      <c r="I494" s="92" t="s">
        <v>803</v>
      </c>
      <c r="J494" s="93">
        <v>29.59</v>
      </c>
    </row>
    <row r="495" spans="1:10" ht="38.25" x14ac:dyDescent="0.2">
      <c r="A495" s="92"/>
      <c r="B495" s="92"/>
      <c r="C495" s="92"/>
      <c r="D495" s="92"/>
      <c r="E495" s="92" t="s">
        <v>804</v>
      </c>
      <c r="F495" s="93">
        <v>106.03</v>
      </c>
      <c r="G495" s="92"/>
      <c r="H495" s="127" t="s">
        <v>805</v>
      </c>
      <c r="I495" s="127"/>
      <c r="J495" s="93">
        <v>473.94</v>
      </c>
    </row>
    <row r="496" spans="1:10" ht="15" thickBot="1" x14ac:dyDescent="0.25">
      <c r="A496" s="77"/>
      <c r="B496" s="77"/>
      <c r="C496" s="77"/>
      <c r="D496" s="77"/>
      <c r="E496" s="77"/>
      <c r="F496" s="77"/>
      <c r="G496" s="77" t="s">
        <v>806</v>
      </c>
      <c r="H496" s="94">
        <v>1.9</v>
      </c>
      <c r="I496" s="77" t="s">
        <v>807</v>
      </c>
      <c r="J496" s="78">
        <v>900.48</v>
      </c>
    </row>
    <row r="497" spans="1:10" ht="15" thickTop="1" x14ac:dyDescent="0.2">
      <c r="A497" s="95"/>
      <c r="B497" s="95"/>
      <c r="C497" s="95"/>
      <c r="D497" s="95"/>
      <c r="E497" s="95"/>
      <c r="F497" s="95"/>
      <c r="G497" s="95"/>
      <c r="H497" s="95"/>
      <c r="I497" s="95"/>
      <c r="J497" s="95"/>
    </row>
    <row r="498" spans="1:10" ht="15" x14ac:dyDescent="0.2">
      <c r="A498" s="75" t="s">
        <v>188</v>
      </c>
      <c r="B498" s="17" t="s">
        <v>11</v>
      </c>
      <c r="C498" s="75" t="s">
        <v>12</v>
      </c>
      <c r="D498" s="75" t="s">
        <v>2</v>
      </c>
      <c r="E498" s="124" t="s">
        <v>779</v>
      </c>
      <c r="F498" s="124"/>
      <c r="G498" s="76" t="s">
        <v>3</v>
      </c>
      <c r="H498" s="17" t="s">
        <v>4</v>
      </c>
      <c r="I498" s="17" t="s">
        <v>13</v>
      </c>
      <c r="J498" s="17" t="s">
        <v>17</v>
      </c>
    </row>
    <row r="499" spans="1:10" ht="25.5" x14ac:dyDescent="0.2">
      <c r="A499" s="19" t="s">
        <v>780</v>
      </c>
      <c r="B499" s="20" t="s">
        <v>189</v>
      </c>
      <c r="C499" s="19" t="s">
        <v>15</v>
      </c>
      <c r="D499" s="19" t="s">
        <v>190</v>
      </c>
      <c r="E499" s="125">
        <v>32.06</v>
      </c>
      <c r="F499" s="125"/>
      <c r="G499" s="21" t="s">
        <v>5</v>
      </c>
      <c r="H499" s="86">
        <v>1</v>
      </c>
      <c r="I499" s="82">
        <v>83.16</v>
      </c>
      <c r="J499" s="82">
        <v>83.16</v>
      </c>
    </row>
    <row r="500" spans="1:10" ht="38.25" x14ac:dyDescent="0.2">
      <c r="A500" s="87" t="s">
        <v>781</v>
      </c>
      <c r="B500" s="88" t="s">
        <v>941</v>
      </c>
      <c r="C500" s="87" t="s">
        <v>15</v>
      </c>
      <c r="D500" s="87" t="s">
        <v>942</v>
      </c>
      <c r="E500" s="126" t="s">
        <v>794</v>
      </c>
      <c r="F500" s="126"/>
      <c r="G500" s="89" t="s">
        <v>5</v>
      </c>
      <c r="H500" s="90">
        <v>1</v>
      </c>
      <c r="I500" s="91">
        <v>83.16</v>
      </c>
      <c r="J500" s="91">
        <v>83.16</v>
      </c>
    </row>
    <row r="501" spans="1:10" ht="38.25" x14ac:dyDescent="0.2">
      <c r="A501" s="92"/>
      <c r="B501" s="92"/>
      <c r="C501" s="92"/>
      <c r="D501" s="92"/>
      <c r="E501" s="92" t="s">
        <v>801</v>
      </c>
      <c r="F501" s="93">
        <v>0</v>
      </c>
      <c r="G501" s="92" t="s">
        <v>802</v>
      </c>
      <c r="H501" s="93">
        <v>0</v>
      </c>
      <c r="I501" s="92" t="s">
        <v>803</v>
      </c>
      <c r="J501" s="93">
        <v>0</v>
      </c>
    </row>
    <row r="502" spans="1:10" ht="38.25" x14ac:dyDescent="0.2">
      <c r="A502" s="92"/>
      <c r="B502" s="92"/>
      <c r="C502" s="92"/>
      <c r="D502" s="92"/>
      <c r="E502" s="92" t="s">
        <v>804</v>
      </c>
      <c r="F502" s="93">
        <v>23.96</v>
      </c>
      <c r="G502" s="92"/>
      <c r="H502" s="127" t="s">
        <v>805</v>
      </c>
      <c r="I502" s="127"/>
      <c r="J502" s="93">
        <v>107.12</v>
      </c>
    </row>
    <row r="503" spans="1:10" ht="15" thickBot="1" x14ac:dyDescent="0.25">
      <c r="A503" s="77"/>
      <c r="B503" s="77"/>
      <c r="C503" s="77"/>
      <c r="D503" s="77"/>
      <c r="E503" s="77"/>
      <c r="F503" s="77"/>
      <c r="G503" s="77" t="s">
        <v>806</v>
      </c>
      <c r="H503" s="94">
        <v>4.66</v>
      </c>
      <c r="I503" s="77" t="s">
        <v>807</v>
      </c>
      <c r="J503" s="78">
        <v>499.17</v>
      </c>
    </row>
    <row r="504" spans="1:10" ht="15" thickTop="1" x14ac:dyDescent="0.2">
      <c r="A504" s="95"/>
      <c r="B504" s="95"/>
      <c r="C504" s="95"/>
      <c r="D504" s="95"/>
      <c r="E504" s="95"/>
      <c r="F504" s="95"/>
      <c r="G504" s="95"/>
      <c r="H504" s="95"/>
      <c r="I504" s="95"/>
      <c r="J504" s="95"/>
    </row>
    <row r="505" spans="1:10" ht="15" x14ac:dyDescent="0.2">
      <c r="A505" s="75" t="s">
        <v>191</v>
      </c>
      <c r="B505" s="17" t="s">
        <v>11</v>
      </c>
      <c r="C505" s="75" t="s">
        <v>12</v>
      </c>
      <c r="D505" s="75" t="s">
        <v>2</v>
      </c>
      <c r="E505" s="124" t="s">
        <v>779</v>
      </c>
      <c r="F505" s="124"/>
      <c r="G505" s="76" t="s">
        <v>3</v>
      </c>
      <c r="H505" s="17" t="s">
        <v>4</v>
      </c>
      <c r="I505" s="17" t="s">
        <v>13</v>
      </c>
      <c r="J505" s="17" t="s">
        <v>17</v>
      </c>
    </row>
    <row r="506" spans="1:10" ht="25.5" x14ac:dyDescent="0.2">
      <c r="A506" s="19" t="s">
        <v>780</v>
      </c>
      <c r="B506" s="20" t="s">
        <v>192</v>
      </c>
      <c r="C506" s="19" t="s">
        <v>193</v>
      </c>
      <c r="D506" s="19" t="s">
        <v>194</v>
      </c>
      <c r="E506" s="125" t="s">
        <v>943</v>
      </c>
      <c r="F506" s="125"/>
      <c r="G506" s="21" t="s">
        <v>195</v>
      </c>
      <c r="H506" s="86">
        <v>1</v>
      </c>
      <c r="I506" s="82">
        <v>260.79000000000002</v>
      </c>
      <c r="J506" s="82">
        <v>260.79000000000002</v>
      </c>
    </row>
    <row r="507" spans="1:10" ht="38.25" x14ac:dyDescent="0.2">
      <c r="A507" s="96" t="s">
        <v>880</v>
      </c>
      <c r="B507" s="97" t="s">
        <v>944</v>
      </c>
      <c r="C507" s="96" t="s">
        <v>31</v>
      </c>
      <c r="D507" s="96" t="s">
        <v>945</v>
      </c>
      <c r="E507" s="128" t="s">
        <v>890</v>
      </c>
      <c r="F507" s="128"/>
      <c r="G507" s="98" t="s">
        <v>785</v>
      </c>
      <c r="H507" s="99">
        <v>6</v>
      </c>
      <c r="I507" s="100">
        <v>31.8</v>
      </c>
      <c r="J507" s="100">
        <v>190.8</v>
      </c>
    </row>
    <row r="508" spans="1:10" ht="38.25" x14ac:dyDescent="0.2">
      <c r="A508" s="96" t="s">
        <v>880</v>
      </c>
      <c r="B508" s="97" t="s">
        <v>61</v>
      </c>
      <c r="C508" s="96" t="s">
        <v>15</v>
      </c>
      <c r="D508" s="96" t="s">
        <v>62</v>
      </c>
      <c r="E508" s="128">
        <v>4.09</v>
      </c>
      <c r="F508" s="128"/>
      <c r="G508" s="98" t="s">
        <v>5</v>
      </c>
      <c r="H508" s="99">
        <v>1</v>
      </c>
      <c r="I508" s="100">
        <v>28.81</v>
      </c>
      <c r="J508" s="100">
        <v>28.81</v>
      </c>
    </row>
    <row r="509" spans="1:10" ht="38.25" x14ac:dyDescent="0.2">
      <c r="A509" s="96" t="s">
        <v>880</v>
      </c>
      <c r="B509" s="97" t="s">
        <v>946</v>
      </c>
      <c r="C509" s="96" t="s">
        <v>15</v>
      </c>
      <c r="D509" s="96" t="s">
        <v>947</v>
      </c>
      <c r="E509" s="128">
        <v>24.2</v>
      </c>
      <c r="F509" s="128"/>
      <c r="G509" s="98" t="s">
        <v>5</v>
      </c>
      <c r="H509" s="99">
        <v>1</v>
      </c>
      <c r="I509" s="100">
        <v>41.18</v>
      </c>
      <c r="J509" s="100">
        <v>41.18</v>
      </c>
    </row>
    <row r="510" spans="1:10" ht="38.25" x14ac:dyDescent="0.2">
      <c r="A510" s="92"/>
      <c r="B510" s="92"/>
      <c r="C510" s="92"/>
      <c r="D510" s="92"/>
      <c r="E510" s="92" t="s">
        <v>801</v>
      </c>
      <c r="F510" s="93">
        <v>207.15</v>
      </c>
      <c r="G510" s="92" t="s">
        <v>802</v>
      </c>
      <c r="H510" s="93">
        <v>0</v>
      </c>
      <c r="I510" s="92" t="s">
        <v>803</v>
      </c>
      <c r="J510" s="93">
        <v>207.15</v>
      </c>
    </row>
    <row r="511" spans="1:10" ht="38.25" x14ac:dyDescent="0.2">
      <c r="A511" s="92"/>
      <c r="B511" s="92"/>
      <c r="C511" s="92"/>
      <c r="D511" s="92"/>
      <c r="E511" s="92" t="s">
        <v>804</v>
      </c>
      <c r="F511" s="93">
        <v>75.150000000000006</v>
      </c>
      <c r="G511" s="92"/>
      <c r="H511" s="127" t="s">
        <v>805</v>
      </c>
      <c r="I511" s="127"/>
      <c r="J511" s="93">
        <v>335.94</v>
      </c>
    </row>
    <row r="512" spans="1:10" ht="15" thickBot="1" x14ac:dyDescent="0.25">
      <c r="A512" s="77"/>
      <c r="B512" s="77"/>
      <c r="C512" s="77"/>
      <c r="D512" s="77"/>
      <c r="E512" s="77"/>
      <c r="F512" s="77"/>
      <c r="G512" s="77" t="s">
        <v>806</v>
      </c>
      <c r="H512" s="94">
        <v>24.2</v>
      </c>
      <c r="I512" s="77" t="s">
        <v>807</v>
      </c>
      <c r="J512" s="78">
        <v>8129.74</v>
      </c>
    </row>
    <row r="513" spans="1:10" ht="15" thickTop="1" x14ac:dyDescent="0.2">
      <c r="A513" s="95"/>
      <c r="B513" s="95"/>
      <c r="C513" s="95"/>
      <c r="D513" s="95"/>
      <c r="E513" s="95"/>
      <c r="F513" s="95"/>
      <c r="G513" s="95"/>
      <c r="H513" s="95"/>
      <c r="I513" s="95"/>
      <c r="J513" s="95"/>
    </row>
    <row r="514" spans="1:10" ht="15" x14ac:dyDescent="0.2">
      <c r="A514" s="75" t="s">
        <v>660</v>
      </c>
      <c r="B514" s="17" t="s">
        <v>11</v>
      </c>
      <c r="C514" s="75" t="s">
        <v>12</v>
      </c>
      <c r="D514" s="75" t="s">
        <v>2</v>
      </c>
      <c r="E514" s="124" t="s">
        <v>779</v>
      </c>
      <c r="F514" s="124"/>
      <c r="G514" s="76" t="s">
        <v>3</v>
      </c>
      <c r="H514" s="17" t="s">
        <v>4</v>
      </c>
      <c r="I514" s="17" t="s">
        <v>13</v>
      </c>
      <c r="J514" s="17" t="s">
        <v>17</v>
      </c>
    </row>
    <row r="515" spans="1:10" ht="25.5" x14ac:dyDescent="0.2">
      <c r="A515" s="19" t="s">
        <v>780</v>
      </c>
      <c r="B515" s="20" t="s">
        <v>673</v>
      </c>
      <c r="C515" s="19" t="s">
        <v>15</v>
      </c>
      <c r="D515" s="19" t="s">
        <v>674</v>
      </c>
      <c r="E515" s="125">
        <v>23.13</v>
      </c>
      <c r="F515" s="125"/>
      <c r="G515" s="21" t="s">
        <v>32</v>
      </c>
      <c r="H515" s="86">
        <v>1</v>
      </c>
      <c r="I515" s="82">
        <v>618.91999999999996</v>
      </c>
      <c r="J515" s="82">
        <v>618.91999999999996</v>
      </c>
    </row>
    <row r="516" spans="1:10" ht="38.25" x14ac:dyDescent="0.2">
      <c r="A516" s="87" t="s">
        <v>781</v>
      </c>
      <c r="B516" s="88" t="s">
        <v>948</v>
      </c>
      <c r="C516" s="87" t="s">
        <v>15</v>
      </c>
      <c r="D516" s="87" t="s">
        <v>949</v>
      </c>
      <c r="E516" s="126" t="s">
        <v>794</v>
      </c>
      <c r="F516" s="126"/>
      <c r="G516" s="89" t="s">
        <v>32</v>
      </c>
      <c r="H516" s="90">
        <v>1</v>
      </c>
      <c r="I516" s="91">
        <v>618.91999999999996</v>
      </c>
      <c r="J516" s="91">
        <v>618.91999999999996</v>
      </c>
    </row>
    <row r="517" spans="1:10" ht="38.25" x14ac:dyDescent="0.2">
      <c r="A517" s="92"/>
      <c r="B517" s="92"/>
      <c r="C517" s="92"/>
      <c r="D517" s="92"/>
      <c r="E517" s="92" t="s">
        <v>801</v>
      </c>
      <c r="F517" s="93">
        <v>0</v>
      </c>
      <c r="G517" s="92" t="s">
        <v>802</v>
      </c>
      <c r="H517" s="93">
        <v>0</v>
      </c>
      <c r="I517" s="92" t="s">
        <v>803</v>
      </c>
      <c r="J517" s="93">
        <v>0</v>
      </c>
    </row>
    <row r="518" spans="1:10" ht="38.25" x14ac:dyDescent="0.2">
      <c r="A518" s="92"/>
      <c r="B518" s="92"/>
      <c r="C518" s="92"/>
      <c r="D518" s="92"/>
      <c r="E518" s="92" t="s">
        <v>804</v>
      </c>
      <c r="F518" s="93">
        <v>178.37</v>
      </c>
      <c r="G518" s="92"/>
      <c r="H518" s="127" t="s">
        <v>805</v>
      </c>
      <c r="I518" s="127"/>
      <c r="J518" s="93">
        <v>797.29</v>
      </c>
    </row>
    <row r="519" spans="1:10" ht="15" thickBot="1" x14ac:dyDescent="0.25">
      <c r="A519" s="77"/>
      <c r="B519" s="77"/>
      <c r="C519" s="77"/>
      <c r="D519" s="77"/>
      <c r="E519" s="77"/>
      <c r="F519" s="77"/>
      <c r="G519" s="77" t="s">
        <v>806</v>
      </c>
      <c r="H519" s="94">
        <v>1</v>
      </c>
      <c r="I519" s="77" t="s">
        <v>807</v>
      </c>
      <c r="J519" s="78">
        <v>797.29</v>
      </c>
    </row>
    <row r="520" spans="1:10" ht="15" thickTop="1" x14ac:dyDescent="0.2">
      <c r="A520" s="95"/>
      <c r="B520" s="95"/>
      <c r="C520" s="95"/>
      <c r="D520" s="95"/>
      <c r="E520" s="95"/>
      <c r="F520" s="95"/>
      <c r="G520" s="95"/>
      <c r="H520" s="95"/>
      <c r="I520" s="95"/>
      <c r="J520" s="95"/>
    </row>
    <row r="521" spans="1:10" ht="15" x14ac:dyDescent="0.2">
      <c r="A521" s="75" t="s">
        <v>661</v>
      </c>
      <c r="B521" s="17" t="s">
        <v>11</v>
      </c>
      <c r="C521" s="75" t="s">
        <v>12</v>
      </c>
      <c r="D521" s="75" t="s">
        <v>2</v>
      </c>
      <c r="E521" s="124" t="s">
        <v>779</v>
      </c>
      <c r="F521" s="124"/>
      <c r="G521" s="76" t="s">
        <v>3</v>
      </c>
      <c r="H521" s="17" t="s">
        <v>4</v>
      </c>
      <c r="I521" s="17" t="s">
        <v>13</v>
      </c>
      <c r="J521" s="17" t="s">
        <v>17</v>
      </c>
    </row>
    <row r="522" spans="1:10" ht="25.5" x14ac:dyDescent="0.2">
      <c r="A522" s="19" t="s">
        <v>780</v>
      </c>
      <c r="B522" s="20" t="s">
        <v>675</v>
      </c>
      <c r="C522" s="19" t="s">
        <v>15</v>
      </c>
      <c r="D522" s="19" t="s">
        <v>676</v>
      </c>
      <c r="E522" s="125">
        <v>25.02</v>
      </c>
      <c r="F522" s="125"/>
      <c r="G522" s="21" t="s">
        <v>5</v>
      </c>
      <c r="H522" s="86">
        <v>1</v>
      </c>
      <c r="I522" s="82">
        <v>1443.62</v>
      </c>
      <c r="J522" s="82">
        <v>1443.62</v>
      </c>
    </row>
    <row r="523" spans="1:10" ht="38.25" x14ac:dyDescent="0.2">
      <c r="A523" s="87" t="s">
        <v>781</v>
      </c>
      <c r="B523" s="88" t="s">
        <v>832</v>
      </c>
      <c r="C523" s="87" t="s">
        <v>15</v>
      </c>
      <c r="D523" s="87" t="s">
        <v>833</v>
      </c>
      <c r="E523" s="126" t="s">
        <v>784</v>
      </c>
      <c r="F523" s="126"/>
      <c r="G523" s="89" t="s">
        <v>785</v>
      </c>
      <c r="H523" s="90">
        <v>3</v>
      </c>
      <c r="I523" s="91">
        <v>22.61</v>
      </c>
      <c r="J523" s="91">
        <v>67.83</v>
      </c>
    </row>
    <row r="524" spans="1:10" ht="38.25" x14ac:dyDescent="0.2">
      <c r="A524" s="87" t="s">
        <v>781</v>
      </c>
      <c r="B524" s="88" t="s">
        <v>816</v>
      </c>
      <c r="C524" s="87" t="s">
        <v>15</v>
      </c>
      <c r="D524" s="87" t="s">
        <v>817</v>
      </c>
      <c r="E524" s="126" t="s">
        <v>784</v>
      </c>
      <c r="F524" s="126"/>
      <c r="G524" s="89" t="s">
        <v>785</v>
      </c>
      <c r="H524" s="90">
        <v>3</v>
      </c>
      <c r="I524" s="91">
        <v>18.57</v>
      </c>
      <c r="J524" s="91">
        <v>55.71</v>
      </c>
    </row>
    <row r="525" spans="1:10" ht="38.25" x14ac:dyDescent="0.2">
      <c r="A525" s="87" t="s">
        <v>781</v>
      </c>
      <c r="B525" s="88" t="s">
        <v>913</v>
      </c>
      <c r="C525" s="87" t="s">
        <v>15</v>
      </c>
      <c r="D525" s="87" t="s">
        <v>914</v>
      </c>
      <c r="E525" s="126" t="s">
        <v>794</v>
      </c>
      <c r="F525" s="126"/>
      <c r="G525" s="89" t="s">
        <v>134</v>
      </c>
      <c r="H525" s="90">
        <v>2.0299999999999998</v>
      </c>
      <c r="I525" s="91">
        <v>0.6</v>
      </c>
      <c r="J525" s="91">
        <v>1.21</v>
      </c>
    </row>
    <row r="526" spans="1:10" ht="38.25" x14ac:dyDescent="0.2">
      <c r="A526" s="87" t="s">
        <v>781</v>
      </c>
      <c r="B526" s="88" t="s">
        <v>911</v>
      </c>
      <c r="C526" s="87" t="s">
        <v>15</v>
      </c>
      <c r="D526" s="87" t="s">
        <v>912</v>
      </c>
      <c r="E526" s="126" t="s">
        <v>794</v>
      </c>
      <c r="F526" s="126"/>
      <c r="G526" s="89" t="s">
        <v>50</v>
      </c>
      <c r="H526" s="90">
        <v>7.1999999999999998E-3</v>
      </c>
      <c r="I526" s="91">
        <v>167.7</v>
      </c>
      <c r="J526" s="91">
        <v>1.2</v>
      </c>
    </row>
    <row r="527" spans="1:10" ht="38.25" x14ac:dyDescent="0.2">
      <c r="A527" s="87" t="s">
        <v>781</v>
      </c>
      <c r="B527" s="88" t="s">
        <v>950</v>
      </c>
      <c r="C527" s="87" t="s">
        <v>15</v>
      </c>
      <c r="D527" s="87" t="s">
        <v>951</v>
      </c>
      <c r="E527" s="126" t="s">
        <v>794</v>
      </c>
      <c r="F527" s="126"/>
      <c r="G527" s="89" t="s">
        <v>5</v>
      </c>
      <c r="H527" s="90">
        <v>1</v>
      </c>
      <c r="I527" s="91">
        <v>1317.67</v>
      </c>
      <c r="J527" s="91">
        <v>1317.67</v>
      </c>
    </row>
    <row r="528" spans="1:10" ht="38.25" x14ac:dyDescent="0.2">
      <c r="A528" s="92"/>
      <c r="B528" s="92"/>
      <c r="C528" s="92"/>
      <c r="D528" s="92"/>
      <c r="E528" s="92" t="s">
        <v>801</v>
      </c>
      <c r="F528" s="93">
        <v>123.54</v>
      </c>
      <c r="G528" s="92" t="s">
        <v>802</v>
      </c>
      <c r="H528" s="93">
        <v>0</v>
      </c>
      <c r="I528" s="92" t="s">
        <v>803</v>
      </c>
      <c r="J528" s="93">
        <v>123.54</v>
      </c>
    </row>
    <row r="529" spans="1:10" ht="38.25" x14ac:dyDescent="0.2">
      <c r="A529" s="92"/>
      <c r="B529" s="92"/>
      <c r="C529" s="92"/>
      <c r="D529" s="92"/>
      <c r="E529" s="92" t="s">
        <v>804</v>
      </c>
      <c r="F529" s="93">
        <v>416.05</v>
      </c>
      <c r="G529" s="92"/>
      <c r="H529" s="127" t="s">
        <v>805</v>
      </c>
      <c r="I529" s="127"/>
      <c r="J529" s="93">
        <v>1859.67</v>
      </c>
    </row>
    <row r="530" spans="1:10" ht="15" thickBot="1" x14ac:dyDescent="0.25">
      <c r="A530" s="77"/>
      <c r="B530" s="77"/>
      <c r="C530" s="77"/>
      <c r="D530" s="77"/>
      <c r="E530" s="77"/>
      <c r="F530" s="77"/>
      <c r="G530" s="77" t="s">
        <v>806</v>
      </c>
      <c r="H530" s="94">
        <v>1.72</v>
      </c>
      <c r="I530" s="77" t="s">
        <v>807</v>
      </c>
      <c r="J530" s="78">
        <v>3198.63</v>
      </c>
    </row>
    <row r="531" spans="1:10" ht="15" thickTop="1" x14ac:dyDescent="0.2">
      <c r="A531" s="95"/>
      <c r="B531" s="95"/>
      <c r="C531" s="95"/>
      <c r="D531" s="95"/>
      <c r="E531" s="95"/>
      <c r="F531" s="95"/>
      <c r="G531" s="95"/>
      <c r="H531" s="95"/>
      <c r="I531" s="95"/>
      <c r="J531" s="95"/>
    </row>
    <row r="532" spans="1:10" x14ac:dyDescent="0.2">
      <c r="A532" s="18" t="s">
        <v>196</v>
      </c>
      <c r="B532" s="18"/>
      <c r="C532" s="18"/>
      <c r="D532" s="18" t="s">
        <v>197</v>
      </c>
      <c r="E532" s="18"/>
      <c r="F532" s="122"/>
      <c r="G532" s="122"/>
      <c r="H532" s="39"/>
      <c r="I532" s="18"/>
      <c r="J532" s="80">
        <v>196180.9</v>
      </c>
    </row>
    <row r="533" spans="1:10" ht="15" x14ac:dyDescent="0.2">
      <c r="A533" s="75" t="s">
        <v>198</v>
      </c>
      <c r="B533" s="17" t="s">
        <v>11</v>
      </c>
      <c r="C533" s="75" t="s">
        <v>12</v>
      </c>
      <c r="D533" s="75" t="s">
        <v>2</v>
      </c>
      <c r="E533" s="124" t="s">
        <v>779</v>
      </c>
      <c r="F533" s="124"/>
      <c r="G533" s="76" t="s">
        <v>3</v>
      </c>
      <c r="H533" s="17" t="s">
        <v>4</v>
      </c>
      <c r="I533" s="17" t="s">
        <v>13</v>
      </c>
      <c r="J533" s="17" t="s">
        <v>17</v>
      </c>
    </row>
    <row r="534" spans="1:10" ht="25.5" x14ac:dyDescent="0.2">
      <c r="A534" s="19" t="s">
        <v>780</v>
      </c>
      <c r="B534" s="20" t="s">
        <v>199</v>
      </c>
      <c r="C534" s="19" t="s">
        <v>15</v>
      </c>
      <c r="D534" s="19" t="s">
        <v>200</v>
      </c>
      <c r="E534" s="125">
        <v>15.03</v>
      </c>
      <c r="F534" s="125"/>
      <c r="G534" s="21" t="s">
        <v>134</v>
      </c>
      <c r="H534" s="86">
        <v>1</v>
      </c>
      <c r="I534" s="82">
        <v>27.3</v>
      </c>
      <c r="J534" s="82">
        <v>27.3</v>
      </c>
    </row>
    <row r="535" spans="1:10" ht="38.25" x14ac:dyDescent="0.2">
      <c r="A535" s="87" t="s">
        <v>781</v>
      </c>
      <c r="B535" s="88" t="s">
        <v>952</v>
      </c>
      <c r="C535" s="87" t="s">
        <v>15</v>
      </c>
      <c r="D535" s="87" t="s">
        <v>953</v>
      </c>
      <c r="E535" s="126" t="s">
        <v>794</v>
      </c>
      <c r="F535" s="126"/>
      <c r="G535" s="89" t="s">
        <v>134</v>
      </c>
      <c r="H535" s="90">
        <v>1</v>
      </c>
      <c r="I535" s="91">
        <v>27.3</v>
      </c>
      <c r="J535" s="91">
        <v>27.3</v>
      </c>
    </row>
    <row r="536" spans="1:10" ht="38.25" x14ac:dyDescent="0.2">
      <c r="A536" s="92"/>
      <c r="B536" s="92"/>
      <c r="C536" s="92"/>
      <c r="D536" s="92"/>
      <c r="E536" s="92" t="s">
        <v>801</v>
      </c>
      <c r="F536" s="93">
        <v>0</v>
      </c>
      <c r="G536" s="92" t="s">
        <v>802</v>
      </c>
      <c r="H536" s="93">
        <v>0</v>
      </c>
      <c r="I536" s="92" t="s">
        <v>803</v>
      </c>
      <c r="J536" s="93">
        <v>0</v>
      </c>
    </row>
    <row r="537" spans="1:10" ht="38.25" x14ac:dyDescent="0.2">
      <c r="A537" s="92"/>
      <c r="B537" s="92"/>
      <c r="C537" s="92"/>
      <c r="D537" s="92"/>
      <c r="E537" s="92" t="s">
        <v>804</v>
      </c>
      <c r="F537" s="93">
        <v>7.86</v>
      </c>
      <c r="G537" s="92"/>
      <c r="H537" s="127" t="s">
        <v>805</v>
      </c>
      <c r="I537" s="127"/>
      <c r="J537" s="93">
        <v>35.159999999999997</v>
      </c>
    </row>
    <row r="538" spans="1:10" ht="15" thickBot="1" x14ac:dyDescent="0.25">
      <c r="A538" s="77"/>
      <c r="B538" s="77"/>
      <c r="C538" s="77"/>
      <c r="D538" s="77"/>
      <c r="E538" s="77"/>
      <c r="F538" s="77"/>
      <c r="G538" s="77" t="s">
        <v>806</v>
      </c>
      <c r="H538" s="94">
        <v>3622.2</v>
      </c>
      <c r="I538" s="77" t="s">
        <v>807</v>
      </c>
      <c r="J538" s="78">
        <v>127356.55</v>
      </c>
    </row>
    <row r="539" spans="1:10" ht="15" thickTop="1" x14ac:dyDescent="0.2">
      <c r="A539" s="95"/>
      <c r="B539" s="95"/>
      <c r="C539" s="95"/>
      <c r="D539" s="95"/>
      <c r="E539" s="95"/>
      <c r="F539" s="95"/>
      <c r="G539" s="95"/>
      <c r="H539" s="95"/>
      <c r="I539" s="95"/>
      <c r="J539" s="95"/>
    </row>
    <row r="540" spans="1:10" ht="15" x14ac:dyDescent="0.2">
      <c r="A540" s="75" t="s">
        <v>201</v>
      </c>
      <c r="B540" s="17" t="s">
        <v>11</v>
      </c>
      <c r="C540" s="75" t="s">
        <v>12</v>
      </c>
      <c r="D540" s="75" t="s">
        <v>2</v>
      </c>
      <c r="E540" s="124" t="s">
        <v>779</v>
      </c>
      <c r="F540" s="124"/>
      <c r="G540" s="76" t="s">
        <v>3</v>
      </c>
      <c r="H540" s="17" t="s">
        <v>4</v>
      </c>
      <c r="I540" s="17" t="s">
        <v>13</v>
      </c>
      <c r="J540" s="17" t="s">
        <v>17</v>
      </c>
    </row>
    <row r="541" spans="1:10" ht="25.5" x14ac:dyDescent="0.2">
      <c r="A541" s="19" t="s">
        <v>780</v>
      </c>
      <c r="B541" s="20" t="s">
        <v>202</v>
      </c>
      <c r="C541" s="19" t="s">
        <v>15</v>
      </c>
      <c r="D541" s="19" t="s">
        <v>203</v>
      </c>
      <c r="E541" s="125">
        <v>16.12</v>
      </c>
      <c r="F541" s="125"/>
      <c r="G541" s="21" t="s">
        <v>5</v>
      </c>
      <c r="H541" s="86">
        <v>1</v>
      </c>
      <c r="I541" s="82">
        <v>101.05</v>
      </c>
      <c r="J541" s="82">
        <v>101.05</v>
      </c>
    </row>
    <row r="542" spans="1:10" ht="38.25" x14ac:dyDescent="0.2">
      <c r="A542" s="87" t="s">
        <v>781</v>
      </c>
      <c r="B542" s="88" t="s">
        <v>782</v>
      </c>
      <c r="C542" s="87" t="s">
        <v>15</v>
      </c>
      <c r="D542" s="87" t="s">
        <v>783</v>
      </c>
      <c r="E542" s="126" t="s">
        <v>784</v>
      </c>
      <c r="F542" s="126"/>
      <c r="G542" s="89" t="s">
        <v>785</v>
      </c>
      <c r="H542" s="90">
        <v>0.4</v>
      </c>
      <c r="I542" s="91">
        <v>18.57</v>
      </c>
      <c r="J542" s="91">
        <v>7.42</v>
      </c>
    </row>
    <row r="543" spans="1:10" ht="38.25" x14ac:dyDescent="0.2">
      <c r="A543" s="87" t="s">
        <v>781</v>
      </c>
      <c r="B543" s="88" t="s">
        <v>790</v>
      </c>
      <c r="C543" s="87" t="s">
        <v>15</v>
      </c>
      <c r="D543" s="87" t="s">
        <v>791</v>
      </c>
      <c r="E543" s="126" t="s">
        <v>784</v>
      </c>
      <c r="F543" s="126"/>
      <c r="G543" s="89" t="s">
        <v>785</v>
      </c>
      <c r="H543" s="90">
        <v>0.4</v>
      </c>
      <c r="I543" s="91">
        <v>22.61</v>
      </c>
      <c r="J543" s="91">
        <v>9.0399999999999991</v>
      </c>
    </row>
    <row r="544" spans="1:10" ht="38.25" x14ac:dyDescent="0.2">
      <c r="A544" s="87" t="s">
        <v>781</v>
      </c>
      <c r="B544" s="88" t="s">
        <v>954</v>
      </c>
      <c r="C544" s="87" t="s">
        <v>15</v>
      </c>
      <c r="D544" s="87" t="s">
        <v>955</v>
      </c>
      <c r="E544" s="126" t="s">
        <v>794</v>
      </c>
      <c r="F544" s="126"/>
      <c r="G544" s="89" t="s">
        <v>32</v>
      </c>
      <c r="H544" s="90">
        <v>3</v>
      </c>
      <c r="I544" s="91">
        <v>3.26</v>
      </c>
      <c r="J544" s="91">
        <v>9.7799999999999994</v>
      </c>
    </row>
    <row r="545" spans="1:10" ht="38.25" x14ac:dyDescent="0.2">
      <c r="A545" s="87" t="s">
        <v>781</v>
      </c>
      <c r="B545" s="88" t="s">
        <v>956</v>
      </c>
      <c r="C545" s="87" t="s">
        <v>15</v>
      </c>
      <c r="D545" s="87" t="s">
        <v>957</v>
      </c>
      <c r="E545" s="126" t="s">
        <v>794</v>
      </c>
      <c r="F545" s="126"/>
      <c r="G545" s="89" t="s">
        <v>32</v>
      </c>
      <c r="H545" s="90">
        <v>3</v>
      </c>
      <c r="I545" s="91">
        <v>1.1599999999999999</v>
      </c>
      <c r="J545" s="91">
        <v>3.48</v>
      </c>
    </row>
    <row r="546" spans="1:10" ht="38.25" x14ac:dyDescent="0.2">
      <c r="A546" s="87" t="s">
        <v>781</v>
      </c>
      <c r="B546" s="88" t="s">
        <v>958</v>
      </c>
      <c r="C546" s="87" t="s">
        <v>15</v>
      </c>
      <c r="D546" s="87" t="s">
        <v>959</v>
      </c>
      <c r="E546" s="126" t="s">
        <v>794</v>
      </c>
      <c r="F546" s="126"/>
      <c r="G546" s="89" t="s">
        <v>5</v>
      </c>
      <c r="H546" s="90">
        <v>1.1499999999999999</v>
      </c>
      <c r="I546" s="91">
        <v>62.03</v>
      </c>
      <c r="J546" s="91">
        <v>71.33</v>
      </c>
    </row>
    <row r="547" spans="1:10" ht="38.25" x14ac:dyDescent="0.2">
      <c r="A547" s="92"/>
      <c r="B547" s="92"/>
      <c r="C547" s="92"/>
      <c r="D547" s="92"/>
      <c r="E547" s="92" t="s">
        <v>801</v>
      </c>
      <c r="F547" s="93">
        <v>16.46</v>
      </c>
      <c r="G547" s="92" t="s">
        <v>802</v>
      </c>
      <c r="H547" s="93">
        <v>0</v>
      </c>
      <c r="I547" s="92" t="s">
        <v>803</v>
      </c>
      <c r="J547" s="93">
        <v>16.46</v>
      </c>
    </row>
    <row r="548" spans="1:10" ht="38.25" x14ac:dyDescent="0.2">
      <c r="A548" s="92"/>
      <c r="B548" s="92"/>
      <c r="C548" s="92"/>
      <c r="D548" s="92"/>
      <c r="E548" s="92" t="s">
        <v>804</v>
      </c>
      <c r="F548" s="93">
        <v>29.12</v>
      </c>
      <c r="G548" s="92"/>
      <c r="H548" s="127" t="s">
        <v>805</v>
      </c>
      <c r="I548" s="127"/>
      <c r="J548" s="93">
        <v>130.16999999999999</v>
      </c>
    </row>
    <row r="549" spans="1:10" ht="15" thickBot="1" x14ac:dyDescent="0.25">
      <c r="A549" s="77"/>
      <c r="B549" s="77"/>
      <c r="C549" s="77"/>
      <c r="D549" s="77"/>
      <c r="E549" s="77"/>
      <c r="F549" s="77"/>
      <c r="G549" s="77" t="s">
        <v>806</v>
      </c>
      <c r="H549" s="94">
        <v>102.81</v>
      </c>
      <c r="I549" s="77" t="s">
        <v>807</v>
      </c>
      <c r="J549" s="78">
        <v>13382.77</v>
      </c>
    </row>
    <row r="550" spans="1:10" ht="15" thickTop="1" x14ac:dyDescent="0.2">
      <c r="A550" s="95"/>
      <c r="B550" s="95"/>
      <c r="C550" s="95"/>
      <c r="D550" s="95"/>
      <c r="E550" s="95"/>
      <c r="F550" s="95"/>
      <c r="G550" s="95"/>
      <c r="H550" s="95"/>
      <c r="I550" s="95"/>
      <c r="J550" s="95"/>
    </row>
    <row r="551" spans="1:10" ht="15" x14ac:dyDescent="0.2">
      <c r="A551" s="75" t="s">
        <v>204</v>
      </c>
      <c r="B551" s="17" t="s">
        <v>11</v>
      </c>
      <c r="C551" s="75" t="s">
        <v>12</v>
      </c>
      <c r="D551" s="75" t="s">
        <v>2</v>
      </c>
      <c r="E551" s="124" t="s">
        <v>779</v>
      </c>
      <c r="F551" s="124"/>
      <c r="G551" s="76" t="s">
        <v>3</v>
      </c>
      <c r="H551" s="17" t="s">
        <v>4</v>
      </c>
      <c r="I551" s="17" t="s">
        <v>13</v>
      </c>
      <c r="J551" s="17" t="s">
        <v>17</v>
      </c>
    </row>
    <row r="552" spans="1:10" ht="25.5" x14ac:dyDescent="0.2">
      <c r="A552" s="19" t="s">
        <v>780</v>
      </c>
      <c r="B552" s="20" t="s">
        <v>205</v>
      </c>
      <c r="C552" s="19" t="s">
        <v>15</v>
      </c>
      <c r="D552" s="19" t="s">
        <v>206</v>
      </c>
      <c r="E552" s="125">
        <v>16.329999999999998</v>
      </c>
      <c r="F552" s="125"/>
      <c r="G552" s="21" t="s">
        <v>78</v>
      </c>
      <c r="H552" s="86">
        <v>1</v>
      </c>
      <c r="I552" s="82">
        <v>148.47</v>
      </c>
      <c r="J552" s="82">
        <v>148.47</v>
      </c>
    </row>
    <row r="553" spans="1:10" ht="38.25" x14ac:dyDescent="0.2">
      <c r="A553" s="87" t="s">
        <v>781</v>
      </c>
      <c r="B553" s="88" t="s">
        <v>960</v>
      </c>
      <c r="C553" s="87" t="s">
        <v>15</v>
      </c>
      <c r="D553" s="87" t="s">
        <v>961</v>
      </c>
      <c r="E553" s="126" t="s">
        <v>784</v>
      </c>
      <c r="F553" s="126"/>
      <c r="G553" s="89" t="s">
        <v>785</v>
      </c>
      <c r="H553" s="90">
        <v>1.3</v>
      </c>
      <c r="I553" s="91">
        <v>18.57</v>
      </c>
      <c r="J553" s="91">
        <v>24.14</v>
      </c>
    </row>
    <row r="554" spans="1:10" ht="38.25" x14ac:dyDescent="0.2">
      <c r="A554" s="87" t="s">
        <v>781</v>
      </c>
      <c r="B554" s="88" t="s">
        <v>962</v>
      </c>
      <c r="C554" s="87" t="s">
        <v>15</v>
      </c>
      <c r="D554" s="87" t="s">
        <v>963</v>
      </c>
      <c r="E554" s="126" t="s">
        <v>784</v>
      </c>
      <c r="F554" s="126"/>
      <c r="G554" s="89" t="s">
        <v>785</v>
      </c>
      <c r="H554" s="90">
        <v>1.3</v>
      </c>
      <c r="I554" s="91">
        <v>27.08</v>
      </c>
      <c r="J554" s="91">
        <v>35.200000000000003</v>
      </c>
    </row>
    <row r="555" spans="1:10" ht="38.25" x14ac:dyDescent="0.2">
      <c r="A555" s="87" t="s">
        <v>781</v>
      </c>
      <c r="B555" s="88" t="s">
        <v>795</v>
      </c>
      <c r="C555" s="87" t="s">
        <v>15</v>
      </c>
      <c r="D555" s="87" t="s">
        <v>796</v>
      </c>
      <c r="E555" s="126" t="s">
        <v>794</v>
      </c>
      <c r="F555" s="126"/>
      <c r="G555" s="89" t="s">
        <v>134</v>
      </c>
      <c r="H555" s="90">
        <v>0.15</v>
      </c>
      <c r="I555" s="91">
        <v>11.64</v>
      </c>
      <c r="J555" s="91">
        <v>1.74</v>
      </c>
    </row>
    <row r="556" spans="1:10" ht="38.25" x14ac:dyDescent="0.2">
      <c r="A556" s="87" t="s">
        <v>781</v>
      </c>
      <c r="B556" s="88" t="s">
        <v>964</v>
      </c>
      <c r="C556" s="87" t="s">
        <v>15</v>
      </c>
      <c r="D556" s="87" t="s">
        <v>965</v>
      </c>
      <c r="E556" s="126" t="s">
        <v>794</v>
      </c>
      <c r="F556" s="126"/>
      <c r="G556" s="89" t="s">
        <v>134</v>
      </c>
      <c r="H556" s="90">
        <v>2.3E-3</v>
      </c>
      <c r="I556" s="91">
        <v>44.96</v>
      </c>
      <c r="J556" s="91">
        <v>0.1</v>
      </c>
    </row>
    <row r="557" spans="1:10" ht="38.25" x14ac:dyDescent="0.2">
      <c r="A557" s="87" t="s">
        <v>781</v>
      </c>
      <c r="B557" s="88" t="s">
        <v>966</v>
      </c>
      <c r="C557" s="87" t="s">
        <v>15</v>
      </c>
      <c r="D557" s="87" t="s">
        <v>967</v>
      </c>
      <c r="E557" s="126" t="s">
        <v>794</v>
      </c>
      <c r="F557" s="126"/>
      <c r="G557" s="89" t="s">
        <v>78</v>
      </c>
      <c r="H557" s="90">
        <v>1.05</v>
      </c>
      <c r="I557" s="91">
        <v>70.8</v>
      </c>
      <c r="J557" s="91">
        <v>74.34</v>
      </c>
    </row>
    <row r="558" spans="1:10" ht="38.25" x14ac:dyDescent="0.2">
      <c r="A558" s="87" t="s">
        <v>781</v>
      </c>
      <c r="B558" s="88" t="s">
        <v>968</v>
      </c>
      <c r="C558" s="87" t="s">
        <v>15</v>
      </c>
      <c r="D558" s="87" t="s">
        <v>969</v>
      </c>
      <c r="E558" s="126" t="s">
        <v>794</v>
      </c>
      <c r="F558" s="126"/>
      <c r="G558" s="89" t="s">
        <v>134</v>
      </c>
      <c r="H558" s="90">
        <v>7.0000000000000007E-2</v>
      </c>
      <c r="I558" s="91">
        <v>185.13</v>
      </c>
      <c r="J558" s="91">
        <v>12.95</v>
      </c>
    </row>
    <row r="559" spans="1:10" ht="38.25" x14ac:dyDescent="0.2">
      <c r="A559" s="92"/>
      <c r="B559" s="92"/>
      <c r="C559" s="92"/>
      <c r="D559" s="92"/>
      <c r="E559" s="92" t="s">
        <v>801</v>
      </c>
      <c r="F559" s="93">
        <v>59.34</v>
      </c>
      <c r="G559" s="92" t="s">
        <v>802</v>
      </c>
      <c r="H559" s="93">
        <v>0</v>
      </c>
      <c r="I559" s="92" t="s">
        <v>803</v>
      </c>
      <c r="J559" s="93">
        <v>59.34</v>
      </c>
    </row>
    <row r="560" spans="1:10" ht="38.25" x14ac:dyDescent="0.2">
      <c r="A560" s="92"/>
      <c r="B560" s="92"/>
      <c r="C560" s="92"/>
      <c r="D560" s="92"/>
      <c r="E560" s="92" t="s">
        <v>804</v>
      </c>
      <c r="F560" s="93">
        <v>42.78</v>
      </c>
      <c r="G560" s="92"/>
      <c r="H560" s="127" t="s">
        <v>805</v>
      </c>
      <c r="I560" s="127"/>
      <c r="J560" s="93">
        <v>191.25</v>
      </c>
    </row>
    <row r="561" spans="1:10" ht="15" thickBot="1" x14ac:dyDescent="0.25">
      <c r="A561" s="77"/>
      <c r="B561" s="77"/>
      <c r="C561" s="77"/>
      <c r="D561" s="77"/>
      <c r="E561" s="77"/>
      <c r="F561" s="77"/>
      <c r="G561" s="77" t="s">
        <v>806</v>
      </c>
      <c r="H561" s="94">
        <v>42.5</v>
      </c>
      <c r="I561" s="77" t="s">
        <v>807</v>
      </c>
      <c r="J561" s="78">
        <v>8128.12</v>
      </c>
    </row>
    <row r="562" spans="1:10" ht="15" thickTop="1" x14ac:dyDescent="0.2">
      <c r="A562" s="95"/>
      <c r="B562" s="95"/>
      <c r="C562" s="95"/>
      <c r="D562" s="95"/>
      <c r="E562" s="95"/>
      <c r="F562" s="95"/>
      <c r="G562" s="95"/>
      <c r="H562" s="95"/>
      <c r="I562" s="95"/>
      <c r="J562" s="95"/>
    </row>
    <row r="563" spans="1:10" ht="15" x14ac:dyDescent="0.2">
      <c r="A563" s="75" t="s">
        <v>207</v>
      </c>
      <c r="B563" s="17" t="s">
        <v>11</v>
      </c>
      <c r="C563" s="75" t="s">
        <v>12</v>
      </c>
      <c r="D563" s="75" t="s">
        <v>2</v>
      </c>
      <c r="E563" s="124" t="s">
        <v>779</v>
      </c>
      <c r="F563" s="124"/>
      <c r="G563" s="76" t="s">
        <v>3</v>
      </c>
      <c r="H563" s="17" t="s">
        <v>4</v>
      </c>
      <c r="I563" s="17" t="s">
        <v>13</v>
      </c>
      <c r="J563" s="17" t="s">
        <v>17</v>
      </c>
    </row>
    <row r="564" spans="1:10" ht="25.5" x14ac:dyDescent="0.2">
      <c r="A564" s="19" t="s">
        <v>780</v>
      </c>
      <c r="B564" s="20" t="s">
        <v>677</v>
      </c>
      <c r="C564" s="19" t="s">
        <v>15</v>
      </c>
      <c r="D564" s="19" t="s">
        <v>678</v>
      </c>
      <c r="E564" s="125">
        <v>16.329999999999998</v>
      </c>
      <c r="F564" s="125"/>
      <c r="G564" s="21" t="s">
        <v>78</v>
      </c>
      <c r="H564" s="86">
        <v>1</v>
      </c>
      <c r="I564" s="82">
        <v>229.12</v>
      </c>
      <c r="J564" s="82">
        <v>229.12</v>
      </c>
    </row>
    <row r="565" spans="1:10" ht="38.25" x14ac:dyDescent="0.2">
      <c r="A565" s="87" t="s">
        <v>781</v>
      </c>
      <c r="B565" s="88" t="s">
        <v>960</v>
      </c>
      <c r="C565" s="87" t="s">
        <v>15</v>
      </c>
      <c r="D565" s="87" t="s">
        <v>961</v>
      </c>
      <c r="E565" s="126" t="s">
        <v>784</v>
      </c>
      <c r="F565" s="126"/>
      <c r="G565" s="89" t="s">
        <v>785</v>
      </c>
      <c r="H565" s="90">
        <v>1.4</v>
      </c>
      <c r="I565" s="91">
        <v>18.57</v>
      </c>
      <c r="J565" s="91">
        <v>25.99</v>
      </c>
    </row>
    <row r="566" spans="1:10" ht="38.25" x14ac:dyDescent="0.2">
      <c r="A566" s="87" t="s">
        <v>781</v>
      </c>
      <c r="B566" s="88" t="s">
        <v>962</v>
      </c>
      <c r="C566" s="87" t="s">
        <v>15</v>
      </c>
      <c r="D566" s="87" t="s">
        <v>963</v>
      </c>
      <c r="E566" s="126" t="s">
        <v>784</v>
      </c>
      <c r="F566" s="126"/>
      <c r="G566" s="89" t="s">
        <v>785</v>
      </c>
      <c r="H566" s="90">
        <v>1.4</v>
      </c>
      <c r="I566" s="91">
        <v>27.08</v>
      </c>
      <c r="J566" s="91">
        <v>37.909999999999997</v>
      </c>
    </row>
    <row r="567" spans="1:10" ht="38.25" x14ac:dyDescent="0.2">
      <c r="A567" s="87" t="s">
        <v>781</v>
      </c>
      <c r="B567" s="88" t="s">
        <v>795</v>
      </c>
      <c r="C567" s="87" t="s">
        <v>15</v>
      </c>
      <c r="D567" s="87" t="s">
        <v>796</v>
      </c>
      <c r="E567" s="126" t="s">
        <v>794</v>
      </c>
      <c r="F567" s="126"/>
      <c r="G567" s="89" t="s">
        <v>134</v>
      </c>
      <c r="H567" s="90">
        <v>0.3</v>
      </c>
      <c r="I567" s="91">
        <v>11.64</v>
      </c>
      <c r="J567" s="91">
        <v>3.49</v>
      </c>
    </row>
    <row r="568" spans="1:10" ht="38.25" x14ac:dyDescent="0.2">
      <c r="A568" s="87" t="s">
        <v>781</v>
      </c>
      <c r="B568" s="88" t="s">
        <v>964</v>
      </c>
      <c r="C568" s="87" t="s">
        <v>15</v>
      </c>
      <c r="D568" s="87" t="s">
        <v>965</v>
      </c>
      <c r="E568" s="126" t="s">
        <v>794</v>
      </c>
      <c r="F568" s="126"/>
      <c r="G568" s="89" t="s">
        <v>134</v>
      </c>
      <c r="H568" s="90">
        <v>4.7000000000000002E-3</v>
      </c>
      <c r="I568" s="91">
        <v>44.96</v>
      </c>
      <c r="J568" s="91">
        <v>0.21</v>
      </c>
    </row>
    <row r="569" spans="1:10" ht="38.25" x14ac:dyDescent="0.2">
      <c r="A569" s="87" t="s">
        <v>781</v>
      </c>
      <c r="B569" s="88" t="s">
        <v>970</v>
      </c>
      <c r="C569" s="87" t="s">
        <v>15</v>
      </c>
      <c r="D569" s="87" t="s">
        <v>971</v>
      </c>
      <c r="E569" s="126" t="s">
        <v>794</v>
      </c>
      <c r="F569" s="126"/>
      <c r="G569" s="89" t="s">
        <v>78</v>
      </c>
      <c r="H569" s="90">
        <v>1.05</v>
      </c>
      <c r="I569" s="91">
        <v>129.16</v>
      </c>
      <c r="J569" s="91">
        <v>135.61000000000001</v>
      </c>
    </row>
    <row r="570" spans="1:10" ht="38.25" x14ac:dyDescent="0.2">
      <c r="A570" s="87" t="s">
        <v>781</v>
      </c>
      <c r="B570" s="88" t="s">
        <v>968</v>
      </c>
      <c r="C570" s="87" t="s">
        <v>15</v>
      </c>
      <c r="D570" s="87" t="s">
        <v>969</v>
      </c>
      <c r="E570" s="126" t="s">
        <v>794</v>
      </c>
      <c r="F570" s="126"/>
      <c r="G570" s="89" t="s">
        <v>134</v>
      </c>
      <c r="H570" s="90">
        <v>0.14000000000000001</v>
      </c>
      <c r="I570" s="91">
        <v>185.13</v>
      </c>
      <c r="J570" s="91">
        <v>25.91</v>
      </c>
    </row>
    <row r="571" spans="1:10" ht="38.25" x14ac:dyDescent="0.2">
      <c r="A571" s="92"/>
      <c r="B571" s="92"/>
      <c r="C571" s="92"/>
      <c r="D571" s="92"/>
      <c r="E571" s="92" t="s">
        <v>801</v>
      </c>
      <c r="F571" s="93">
        <v>63.9</v>
      </c>
      <c r="G571" s="92" t="s">
        <v>802</v>
      </c>
      <c r="H571" s="93">
        <v>0</v>
      </c>
      <c r="I571" s="92" t="s">
        <v>803</v>
      </c>
      <c r="J571" s="93">
        <v>63.9</v>
      </c>
    </row>
    <row r="572" spans="1:10" ht="38.25" x14ac:dyDescent="0.2">
      <c r="A572" s="92"/>
      <c r="B572" s="92"/>
      <c r="C572" s="92"/>
      <c r="D572" s="92"/>
      <c r="E572" s="92" t="s">
        <v>804</v>
      </c>
      <c r="F572" s="93">
        <v>66.03</v>
      </c>
      <c r="G572" s="92"/>
      <c r="H572" s="127" t="s">
        <v>805</v>
      </c>
      <c r="I572" s="127"/>
      <c r="J572" s="93">
        <v>295.14999999999998</v>
      </c>
    </row>
    <row r="573" spans="1:10" ht="15" thickBot="1" x14ac:dyDescent="0.25">
      <c r="A573" s="77"/>
      <c r="B573" s="77"/>
      <c r="C573" s="77"/>
      <c r="D573" s="77"/>
      <c r="E573" s="77"/>
      <c r="F573" s="77"/>
      <c r="G573" s="77" t="s">
        <v>806</v>
      </c>
      <c r="H573" s="94">
        <v>13.8</v>
      </c>
      <c r="I573" s="77" t="s">
        <v>807</v>
      </c>
      <c r="J573" s="78">
        <v>4073.07</v>
      </c>
    </row>
    <row r="574" spans="1:10" ht="15" thickTop="1" x14ac:dyDescent="0.2">
      <c r="A574" s="95"/>
      <c r="B574" s="95"/>
      <c r="C574" s="95"/>
      <c r="D574" s="95"/>
      <c r="E574" s="95"/>
      <c r="F574" s="95"/>
      <c r="G574" s="95"/>
      <c r="H574" s="95"/>
      <c r="I574" s="95"/>
      <c r="J574" s="95"/>
    </row>
    <row r="575" spans="1:10" ht="15" x14ac:dyDescent="0.2">
      <c r="A575" s="75" t="s">
        <v>662</v>
      </c>
      <c r="B575" s="17" t="s">
        <v>11</v>
      </c>
      <c r="C575" s="75" t="s">
        <v>12</v>
      </c>
      <c r="D575" s="75" t="s">
        <v>2</v>
      </c>
      <c r="E575" s="124" t="s">
        <v>779</v>
      </c>
      <c r="F575" s="124"/>
      <c r="G575" s="76" t="s">
        <v>3</v>
      </c>
      <c r="H575" s="17" t="s">
        <v>4</v>
      </c>
      <c r="I575" s="17" t="s">
        <v>13</v>
      </c>
      <c r="J575" s="17" t="s">
        <v>17</v>
      </c>
    </row>
    <row r="576" spans="1:10" ht="25.5" x14ac:dyDescent="0.2">
      <c r="A576" s="19" t="s">
        <v>780</v>
      </c>
      <c r="B576" s="20" t="s">
        <v>208</v>
      </c>
      <c r="C576" s="19" t="s">
        <v>15</v>
      </c>
      <c r="D576" s="19" t="s">
        <v>209</v>
      </c>
      <c r="E576" s="125">
        <v>21.03</v>
      </c>
      <c r="F576" s="125"/>
      <c r="G576" s="21" t="s">
        <v>5</v>
      </c>
      <c r="H576" s="86">
        <v>1</v>
      </c>
      <c r="I576" s="82">
        <v>837.7</v>
      </c>
      <c r="J576" s="82">
        <v>837.7</v>
      </c>
    </row>
    <row r="577" spans="1:10" ht="38.25" x14ac:dyDescent="0.2">
      <c r="A577" s="87" t="s">
        <v>781</v>
      </c>
      <c r="B577" s="88" t="s">
        <v>972</v>
      </c>
      <c r="C577" s="87" t="s">
        <v>15</v>
      </c>
      <c r="D577" s="87" t="s">
        <v>973</v>
      </c>
      <c r="E577" s="126" t="s">
        <v>784</v>
      </c>
      <c r="F577" s="126"/>
      <c r="G577" s="89" t="s">
        <v>785</v>
      </c>
      <c r="H577" s="90">
        <v>2.5175000000000001</v>
      </c>
      <c r="I577" s="91">
        <v>29.49</v>
      </c>
      <c r="J577" s="91">
        <v>74.239999999999995</v>
      </c>
    </row>
    <row r="578" spans="1:10" ht="38.25" x14ac:dyDescent="0.2">
      <c r="A578" s="87" t="s">
        <v>781</v>
      </c>
      <c r="B578" s="88" t="s">
        <v>974</v>
      </c>
      <c r="C578" s="87" t="s">
        <v>15</v>
      </c>
      <c r="D578" s="87" t="s">
        <v>975</v>
      </c>
      <c r="E578" s="126" t="s">
        <v>784</v>
      </c>
      <c r="F578" s="126"/>
      <c r="G578" s="89" t="s">
        <v>785</v>
      </c>
      <c r="H578" s="90">
        <v>10.069900000000001</v>
      </c>
      <c r="I578" s="91">
        <v>18.57</v>
      </c>
      <c r="J578" s="91">
        <v>186.99</v>
      </c>
    </row>
    <row r="579" spans="1:10" ht="38.25" x14ac:dyDescent="0.2">
      <c r="A579" s="87" t="s">
        <v>781</v>
      </c>
      <c r="B579" s="88" t="s">
        <v>976</v>
      </c>
      <c r="C579" s="87" t="s">
        <v>15</v>
      </c>
      <c r="D579" s="87" t="s">
        <v>977</v>
      </c>
      <c r="E579" s="126" t="s">
        <v>794</v>
      </c>
      <c r="F579" s="126"/>
      <c r="G579" s="89" t="s">
        <v>32</v>
      </c>
      <c r="H579" s="90">
        <v>6.2725</v>
      </c>
      <c r="I579" s="91">
        <v>0.31</v>
      </c>
      <c r="J579" s="91">
        <v>1.94</v>
      </c>
    </row>
    <row r="580" spans="1:10" ht="38.25" x14ac:dyDescent="0.2">
      <c r="A580" s="87" t="s">
        <v>781</v>
      </c>
      <c r="B580" s="88" t="s">
        <v>964</v>
      </c>
      <c r="C580" s="87" t="s">
        <v>15</v>
      </c>
      <c r="D580" s="87" t="s">
        <v>965</v>
      </c>
      <c r="E580" s="126" t="s">
        <v>794</v>
      </c>
      <c r="F580" s="126"/>
      <c r="G580" s="89" t="s">
        <v>134</v>
      </c>
      <c r="H580" s="90">
        <v>1.5054000000000001</v>
      </c>
      <c r="I580" s="91">
        <v>44.96</v>
      </c>
      <c r="J580" s="91">
        <v>67.680000000000007</v>
      </c>
    </row>
    <row r="581" spans="1:10" ht="38.25" x14ac:dyDescent="0.2">
      <c r="A581" s="87" t="s">
        <v>781</v>
      </c>
      <c r="B581" s="88" t="s">
        <v>978</v>
      </c>
      <c r="C581" s="87" t="s">
        <v>15</v>
      </c>
      <c r="D581" s="87" t="s">
        <v>979</v>
      </c>
      <c r="E581" s="126" t="s">
        <v>794</v>
      </c>
      <c r="F581" s="126"/>
      <c r="G581" s="89" t="s">
        <v>5</v>
      </c>
      <c r="H581" s="90">
        <v>1.3</v>
      </c>
      <c r="I581" s="91">
        <v>241.19</v>
      </c>
      <c r="J581" s="91">
        <v>313.54000000000002</v>
      </c>
    </row>
    <row r="582" spans="1:10" ht="38.25" x14ac:dyDescent="0.2">
      <c r="A582" s="87" t="s">
        <v>781</v>
      </c>
      <c r="B582" s="88" t="s">
        <v>980</v>
      </c>
      <c r="C582" s="87" t="s">
        <v>15</v>
      </c>
      <c r="D582" s="87" t="s">
        <v>981</v>
      </c>
      <c r="E582" s="126" t="s">
        <v>794</v>
      </c>
      <c r="F582" s="126"/>
      <c r="G582" s="89" t="s">
        <v>982</v>
      </c>
      <c r="H582" s="90">
        <v>2.1249500000000001</v>
      </c>
      <c r="I582" s="91">
        <v>47.37</v>
      </c>
      <c r="J582" s="91">
        <v>100.65</v>
      </c>
    </row>
    <row r="583" spans="1:10" ht="38.25" x14ac:dyDescent="0.2">
      <c r="A583" s="87" t="s">
        <v>781</v>
      </c>
      <c r="B583" s="88" t="s">
        <v>983</v>
      </c>
      <c r="C583" s="87" t="s">
        <v>15</v>
      </c>
      <c r="D583" s="87" t="s">
        <v>984</v>
      </c>
      <c r="E583" s="126" t="s">
        <v>794</v>
      </c>
      <c r="F583" s="126"/>
      <c r="G583" s="89" t="s">
        <v>78</v>
      </c>
      <c r="H583" s="90">
        <v>1.2749999999999999</v>
      </c>
      <c r="I583" s="91">
        <v>0.46</v>
      </c>
      <c r="J583" s="91">
        <v>0.57999999999999996</v>
      </c>
    </row>
    <row r="584" spans="1:10" ht="38.25" x14ac:dyDescent="0.2">
      <c r="A584" s="87" t="s">
        <v>781</v>
      </c>
      <c r="B584" s="88" t="s">
        <v>985</v>
      </c>
      <c r="C584" s="87" t="s">
        <v>15</v>
      </c>
      <c r="D584" s="87" t="s">
        <v>986</v>
      </c>
      <c r="E584" s="126" t="s">
        <v>794</v>
      </c>
      <c r="F584" s="126"/>
      <c r="G584" s="89" t="s">
        <v>134</v>
      </c>
      <c r="H584" s="90">
        <v>2.4834999999999998</v>
      </c>
      <c r="I584" s="91">
        <v>37.08</v>
      </c>
      <c r="J584" s="91">
        <v>92.08</v>
      </c>
    </row>
    <row r="585" spans="1:10" ht="38.25" x14ac:dyDescent="0.2">
      <c r="A585" s="92"/>
      <c r="B585" s="92"/>
      <c r="C585" s="92"/>
      <c r="D585" s="92"/>
      <c r="E585" s="92" t="s">
        <v>801</v>
      </c>
      <c r="F585" s="93">
        <v>261.23</v>
      </c>
      <c r="G585" s="92" t="s">
        <v>802</v>
      </c>
      <c r="H585" s="93">
        <v>0</v>
      </c>
      <c r="I585" s="92" t="s">
        <v>803</v>
      </c>
      <c r="J585" s="93">
        <v>261.23</v>
      </c>
    </row>
    <row r="586" spans="1:10" ht="38.25" x14ac:dyDescent="0.2">
      <c r="A586" s="92"/>
      <c r="B586" s="92"/>
      <c r="C586" s="92"/>
      <c r="D586" s="92"/>
      <c r="E586" s="92" t="s">
        <v>804</v>
      </c>
      <c r="F586" s="93">
        <v>241.42</v>
      </c>
      <c r="G586" s="92"/>
      <c r="H586" s="127" t="s">
        <v>805</v>
      </c>
      <c r="I586" s="127"/>
      <c r="J586" s="93">
        <v>1079.1199999999999</v>
      </c>
    </row>
    <row r="587" spans="1:10" ht="15" thickBot="1" x14ac:dyDescent="0.25">
      <c r="A587" s="77"/>
      <c r="B587" s="77"/>
      <c r="C587" s="77"/>
      <c r="D587" s="77"/>
      <c r="E587" s="77"/>
      <c r="F587" s="77"/>
      <c r="G587" s="77" t="s">
        <v>806</v>
      </c>
      <c r="H587" s="94">
        <v>29.75</v>
      </c>
      <c r="I587" s="77" t="s">
        <v>807</v>
      </c>
      <c r="J587" s="78">
        <v>32103.82</v>
      </c>
    </row>
    <row r="588" spans="1:10" ht="15" thickTop="1" x14ac:dyDescent="0.2">
      <c r="A588" s="95"/>
      <c r="B588" s="95"/>
      <c r="C588" s="95"/>
      <c r="D588" s="95"/>
      <c r="E588" s="95"/>
      <c r="F588" s="95"/>
      <c r="G588" s="95"/>
      <c r="H588" s="95"/>
      <c r="I588" s="95"/>
      <c r="J588" s="95"/>
    </row>
    <row r="589" spans="1:10" ht="15" x14ac:dyDescent="0.2">
      <c r="A589" s="75" t="s">
        <v>775</v>
      </c>
      <c r="B589" s="17" t="s">
        <v>11</v>
      </c>
      <c r="C589" s="75" t="s">
        <v>12</v>
      </c>
      <c r="D589" s="75" t="s">
        <v>2</v>
      </c>
      <c r="E589" s="124" t="s">
        <v>779</v>
      </c>
      <c r="F589" s="124"/>
      <c r="G589" s="76" t="s">
        <v>3</v>
      </c>
      <c r="H589" s="17" t="s">
        <v>4</v>
      </c>
      <c r="I589" s="17" t="s">
        <v>13</v>
      </c>
      <c r="J589" s="17" t="s">
        <v>17</v>
      </c>
    </row>
    <row r="590" spans="1:10" ht="25.5" x14ac:dyDescent="0.2">
      <c r="A590" s="19" t="s">
        <v>780</v>
      </c>
      <c r="B590" s="20" t="s">
        <v>776</v>
      </c>
      <c r="C590" s="19" t="s">
        <v>15</v>
      </c>
      <c r="D590" s="19" t="s">
        <v>777</v>
      </c>
      <c r="E590" s="125">
        <v>22.03</v>
      </c>
      <c r="F590" s="125"/>
      <c r="G590" s="21" t="s">
        <v>5</v>
      </c>
      <c r="H590" s="86">
        <v>1</v>
      </c>
      <c r="I590" s="82">
        <v>97.14</v>
      </c>
      <c r="J590" s="82">
        <v>97.14</v>
      </c>
    </row>
    <row r="591" spans="1:10" ht="38.25" x14ac:dyDescent="0.2">
      <c r="A591" s="87" t="s">
        <v>781</v>
      </c>
      <c r="B591" s="88" t="s">
        <v>987</v>
      </c>
      <c r="C591" s="87" t="s">
        <v>15</v>
      </c>
      <c r="D591" s="87" t="s">
        <v>988</v>
      </c>
      <c r="E591" s="126" t="s">
        <v>794</v>
      </c>
      <c r="F591" s="126"/>
      <c r="G591" s="89" t="s">
        <v>5</v>
      </c>
      <c r="H591" s="90">
        <v>1</v>
      </c>
      <c r="I591" s="91">
        <v>97.14</v>
      </c>
      <c r="J591" s="91">
        <v>97.14</v>
      </c>
    </row>
    <row r="592" spans="1:10" ht="38.25" x14ac:dyDescent="0.2">
      <c r="A592" s="92"/>
      <c r="B592" s="92"/>
      <c r="C592" s="92"/>
      <c r="D592" s="92"/>
      <c r="E592" s="92" t="s">
        <v>801</v>
      </c>
      <c r="F592" s="93">
        <v>0</v>
      </c>
      <c r="G592" s="92" t="s">
        <v>802</v>
      </c>
      <c r="H592" s="93">
        <v>0</v>
      </c>
      <c r="I592" s="92" t="s">
        <v>803</v>
      </c>
      <c r="J592" s="93">
        <v>0</v>
      </c>
    </row>
    <row r="593" spans="1:10" ht="38.25" x14ac:dyDescent="0.2">
      <c r="A593" s="92"/>
      <c r="B593" s="92"/>
      <c r="C593" s="92"/>
      <c r="D593" s="92"/>
      <c r="E593" s="92" t="s">
        <v>804</v>
      </c>
      <c r="F593" s="93">
        <v>27.99</v>
      </c>
      <c r="G593" s="92"/>
      <c r="H593" s="127" t="s">
        <v>805</v>
      </c>
      <c r="I593" s="127"/>
      <c r="J593" s="93">
        <v>125.13</v>
      </c>
    </row>
    <row r="594" spans="1:10" ht="15" thickBot="1" x14ac:dyDescent="0.25">
      <c r="A594" s="77"/>
      <c r="B594" s="77"/>
      <c r="C594" s="77"/>
      <c r="D594" s="77"/>
      <c r="E594" s="77"/>
      <c r="F594" s="77"/>
      <c r="G594" s="77" t="s">
        <v>806</v>
      </c>
      <c r="H594" s="94">
        <v>89</v>
      </c>
      <c r="I594" s="77" t="s">
        <v>807</v>
      </c>
      <c r="J594" s="78">
        <v>11136.57</v>
      </c>
    </row>
    <row r="595" spans="1:10" ht="15" thickTop="1" x14ac:dyDescent="0.2">
      <c r="A595" s="95"/>
      <c r="B595" s="95"/>
      <c r="C595" s="95"/>
      <c r="D595" s="95"/>
      <c r="E595" s="95"/>
      <c r="F595" s="95"/>
      <c r="G595" s="95"/>
      <c r="H595" s="95"/>
      <c r="I595" s="95"/>
      <c r="J595" s="95"/>
    </row>
    <row r="596" spans="1:10" x14ac:dyDescent="0.2">
      <c r="A596" s="18" t="s">
        <v>210</v>
      </c>
      <c r="B596" s="18"/>
      <c r="C596" s="18"/>
      <c r="D596" s="18" t="s">
        <v>211</v>
      </c>
      <c r="E596" s="18"/>
      <c r="F596" s="122"/>
      <c r="G596" s="122"/>
      <c r="H596" s="39"/>
      <c r="I596" s="18"/>
      <c r="J596" s="80">
        <v>24249.49</v>
      </c>
    </row>
    <row r="597" spans="1:10" x14ac:dyDescent="0.2">
      <c r="A597" s="18" t="s">
        <v>212</v>
      </c>
      <c r="B597" s="18"/>
      <c r="C597" s="18"/>
      <c r="D597" s="18" t="s">
        <v>213</v>
      </c>
      <c r="E597" s="18"/>
      <c r="F597" s="122"/>
      <c r="G597" s="122"/>
      <c r="H597" s="39"/>
      <c r="I597" s="18"/>
      <c r="J597" s="80">
        <v>9124.65</v>
      </c>
    </row>
    <row r="598" spans="1:10" ht="15" x14ac:dyDescent="0.2">
      <c r="A598" s="75" t="s">
        <v>214</v>
      </c>
      <c r="B598" s="17" t="s">
        <v>11</v>
      </c>
      <c r="C598" s="75" t="s">
        <v>12</v>
      </c>
      <c r="D598" s="75" t="s">
        <v>2</v>
      </c>
      <c r="E598" s="124" t="s">
        <v>779</v>
      </c>
      <c r="F598" s="124"/>
      <c r="G598" s="76" t="s">
        <v>3</v>
      </c>
      <c r="H598" s="17" t="s">
        <v>4</v>
      </c>
      <c r="I598" s="17" t="s">
        <v>13</v>
      </c>
      <c r="J598" s="17" t="s">
        <v>17</v>
      </c>
    </row>
    <row r="599" spans="1:10" ht="25.5" x14ac:dyDescent="0.2">
      <c r="A599" s="19" t="s">
        <v>780</v>
      </c>
      <c r="B599" s="20" t="s">
        <v>215</v>
      </c>
      <c r="C599" s="19" t="s">
        <v>15</v>
      </c>
      <c r="D599" s="19" t="s">
        <v>216</v>
      </c>
      <c r="E599" s="125">
        <v>46.01</v>
      </c>
      <c r="F599" s="125"/>
      <c r="G599" s="21" t="s">
        <v>78</v>
      </c>
      <c r="H599" s="86">
        <v>1</v>
      </c>
      <c r="I599" s="82">
        <v>45.75</v>
      </c>
      <c r="J599" s="82">
        <v>45.75</v>
      </c>
    </row>
    <row r="600" spans="1:10" ht="38.25" x14ac:dyDescent="0.2">
      <c r="A600" s="87" t="s">
        <v>781</v>
      </c>
      <c r="B600" s="88" t="s">
        <v>960</v>
      </c>
      <c r="C600" s="87" t="s">
        <v>15</v>
      </c>
      <c r="D600" s="87" t="s">
        <v>961</v>
      </c>
      <c r="E600" s="126" t="s">
        <v>784</v>
      </c>
      <c r="F600" s="126"/>
      <c r="G600" s="89" t="s">
        <v>785</v>
      </c>
      <c r="H600" s="90">
        <v>0.5</v>
      </c>
      <c r="I600" s="91">
        <v>18.57</v>
      </c>
      <c r="J600" s="91">
        <v>9.2799999999999994</v>
      </c>
    </row>
    <row r="601" spans="1:10" ht="38.25" x14ac:dyDescent="0.2">
      <c r="A601" s="87" t="s">
        <v>781</v>
      </c>
      <c r="B601" s="88" t="s">
        <v>962</v>
      </c>
      <c r="C601" s="87" t="s">
        <v>15</v>
      </c>
      <c r="D601" s="87" t="s">
        <v>963</v>
      </c>
      <c r="E601" s="126" t="s">
        <v>784</v>
      </c>
      <c r="F601" s="126"/>
      <c r="G601" s="89" t="s">
        <v>785</v>
      </c>
      <c r="H601" s="90">
        <v>0.5</v>
      </c>
      <c r="I601" s="91">
        <v>27.08</v>
      </c>
      <c r="J601" s="91">
        <v>13.54</v>
      </c>
    </row>
    <row r="602" spans="1:10" ht="38.25" x14ac:dyDescent="0.2">
      <c r="A602" s="87" t="s">
        <v>781</v>
      </c>
      <c r="B602" s="88" t="s">
        <v>989</v>
      </c>
      <c r="C602" s="87" t="s">
        <v>15</v>
      </c>
      <c r="D602" s="87" t="s">
        <v>990</v>
      </c>
      <c r="E602" s="126" t="s">
        <v>794</v>
      </c>
      <c r="F602" s="126"/>
      <c r="G602" s="89" t="s">
        <v>134</v>
      </c>
      <c r="H602" s="90">
        <v>5.0000000000000001E-3</v>
      </c>
      <c r="I602" s="91">
        <v>71.55</v>
      </c>
      <c r="J602" s="91">
        <v>0.35</v>
      </c>
    </row>
    <row r="603" spans="1:10" ht="38.25" x14ac:dyDescent="0.2">
      <c r="A603" s="87" t="s">
        <v>781</v>
      </c>
      <c r="B603" s="88" t="s">
        <v>991</v>
      </c>
      <c r="C603" s="87" t="s">
        <v>15</v>
      </c>
      <c r="D603" s="87" t="s">
        <v>992</v>
      </c>
      <c r="E603" s="126" t="s">
        <v>794</v>
      </c>
      <c r="F603" s="126"/>
      <c r="G603" s="89" t="s">
        <v>32</v>
      </c>
      <c r="H603" s="90">
        <v>7.0000000000000007E-2</v>
      </c>
      <c r="I603" s="91">
        <v>2.04</v>
      </c>
      <c r="J603" s="91">
        <v>0.14000000000000001</v>
      </c>
    </row>
    <row r="604" spans="1:10" ht="38.25" x14ac:dyDescent="0.2">
      <c r="A604" s="87" t="s">
        <v>781</v>
      </c>
      <c r="B604" s="88" t="s">
        <v>993</v>
      </c>
      <c r="C604" s="87" t="s">
        <v>15</v>
      </c>
      <c r="D604" s="87" t="s">
        <v>994</v>
      </c>
      <c r="E604" s="126" t="s">
        <v>794</v>
      </c>
      <c r="F604" s="126"/>
      <c r="G604" s="89" t="s">
        <v>720</v>
      </c>
      <c r="H604" s="90">
        <v>7.0000000000000001E-3</v>
      </c>
      <c r="I604" s="91">
        <v>46.97</v>
      </c>
      <c r="J604" s="91">
        <v>0.32</v>
      </c>
    </row>
    <row r="605" spans="1:10" ht="38.25" x14ac:dyDescent="0.2">
      <c r="A605" s="87" t="s">
        <v>781</v>
      </c>
      <c r="B605" s="88" t="s">
        <v>995</v>
      </c>
      <c r="C605" s="87" t="s">
        <v>15</v>
      </c>
      <c r="D605" s="87" t="s">
        <v>996</v>
      </c>
      <c r="E605" s="126" t="s">
        <v>794</v>
      </c>
      <c r="F605" s="126"/>
      <c r="G605" s="89" t="s">
        <v>78</v>
      </c>
      <c r="H605" s="90">
        <v>1.5</v>
      </c>
      <c r="I605" s="91">
        <v>14.75</v>
      </c>
      <c r="J605" s="91">
        <v>22.12</v>
      </c>
    </row>
    <row r="606" spans="1:10" ht="38.25" x14ac:dyDescent="0.2">
      <c r="A606" s="92"/>
      <c r="B606" s="92"/>
      <c r="C606" s="92"/>
      <c r="D606" s="92"/>
      <c r="E606" s="92" t="s">
        <v>801</v>
      </c>
      <c r="F606" s="93">
        <v>22.82</v>
      </c>
      <c r="G606" s="92" t="s">
        <v>802</v>
      </c>
      <c r="H606" s="93">
        <v>0</v>
      </c>
      <c r="I606" s="92" t="s">
        <v>803</v>
      </c>
      <c r="J606" s="93">
        <v>22.82</v>
      </c>
    </row>
    <row r="607" spans="1:10" ht="38.25" x14ac:dyDescent="0.2">
      <c r="A607" s="92"/>
      <c r="B607" s="92"/>
      <c r="C607" s="92"/>
      <c r="D607" s="92"/>
      <c r="E607" s="92" t="s">
        <v>804</v>
      </c>
      <c r="F607" s="93">
        <v>13.18</v>
      </c>
      <c r="G607" s="92"/>
      <c r="H607" s="127" t="s">
        <v>805</v>
      </c>
      <c r="I607" s="127"/>
      <c r="J607" s="93">
        <v>58.93</v>
      </c>
    </row>
    <row r="608" spans="1:10" ht="15" thickBot="1" x14ac:dyDescent="0.25">
      <c r="A608" s="77"/>
      <c r="B608" s="77"/>
      <c r="C608" s="77"/>
      <c r="D608" s="77"/>
      <c r="E608" s="77"/>
      <c r="F608" s="77"/>
      <c r="G608" s="77" t="s">
        <v>806</v>
      </c>
      <c r="H608" s="94">
        <v>2</v>
      </c>
      <c r="I608" s="77" t="s">
        <v>807</v>
      </c>
      <c r="J608" s="78">
        <v>117.86</v>
      </c>
    </row>
    <row r="609" spans="1:10" ht="15" thickTop="1" x14ac:dyDescent="0.2">
      <c r="A609" s="95"/>
      <c r="B609" s="95"/>
      <c r="C609" s="95"/>
      <c r="D609" s="95"/>
      <c r="E609" s="95"/>
      <c r="F609" s="95"/>
      <c r="G609" s="95"/>
      <c r="H609" s="95"/>
      <c r="I609" s="95"/>
      <c r="J609" s="95"/>
    </row>
    <row r="610" spans="1:10" ht="15" x14ac:dyDescent="0.2">
      <c r="A610" s="75" t="s">
        <v>217</v>
      </c>
      <c r="B610" s="17" t="s">
        <v>11</v>
      </c>
      <c r="C610" s="75" t="s">
        <v>12</v>
      </c>
      <c r="D610" s="75" t="s">
        <v>2</v>
      </c>
      <c r="E610" s="124" t="s">
        <v>779</v>
      </c>
      <c r="F610" s="124"/>
      <c r="G610" s="76" t="s">
        <v>3</v>
      </c>
      <c r="H610" s="17" t="s">
        <v>4</v>
      </c>
      <c r="I610" s="17" t="s">
        <v>13</v>
      </c>
      <c r="J610" s="17" t="s">
        <v>17</v>
      </c>
    </row>
    <row r="611" spans="1:10" ht="25.5" x14ac:dyDescent="0.2">
      <c r="A611" s="19" t="s">
        <v>780</v>
      </c>
      <c r="B611" s="20" t="s">
        <v>218</v>
      </c>
      <c r="C611" s="19" t="s">
        <v>15</v>
      </c>
      <c r="D611" s="19" t="s">
        <v>219</v>
      </c>
      <c r="E611" s="125">
        <v>46.02</v>
      </c>
      <c r="F611" s="125"/>
      <c r="G611" s="21" t="s">
        <v>78</v>
      </c>
      <c r="H611" s="86">
        <v>1</v>
      </c>
      <c r="I611" s="82">
        <v>43.62</v>
      </c>
      <c r="J611" s="82">
        <v>43.62</v>
      </c>
    </row>
    <row r="612" spans="1:10" ht="38.25" x14ac:dyDescent="0.2">
      <c r="A612" s="87" t="s">
        <v>781</v>
      </c>
      <c r="B612" s="88" t="s">
        <v>962</v>
      </c>
      <c r="C612" s="87" t="s">
        <v>15</v>
      </c>
      <c r="D612" s="87" t="s">
        <v>963</v>
      </c>
      <c r="E612" s="126" t="s">
        <v>784</v>
      </c>
      <c r="F612" s="126"/>
      <c r="G612" s="89" t="s">
        <v>785</v>
      </c>
      <c r="H612" s="90">
        <v>0.6</v>
      </c>
      <c r="I612" s="91">
        <v>27.08</v>
      </c>
      <c r="J612" s="91">
        <v>16.239999999999998</v>
      </c>
    </row>
    <row r="613" spans="1:10" ht="38.25" x14ac:dyDescent="0.2">
      <c r="A613" s="87" t="s">
        <v>781</v>
      </c>
      <c r="B613" s="88" t="s">
        <v>960</v>
      </c>
      <c r="C613" s="87" t="s">
        <v>15</v>
      </c>
      <c r="D613" s="87" t="s">
        <v>961</v>
      </c>
      <c r="E613" s="126" t="s">
        <v>784</v>
      </c>
      <c r="F613" s="126"/>
      <c r="G613" s="89" t="s">
        <v>785</v>
      </c>
      <c r="H613" s="90">
        <v>0.6</v>
      </c>
      <c r="I613" s="91">
        <v>18.57</v>
      </c>
      <c r="J613" s="91">
        <v>11.14</v>
      </c>
    </row>
    <row r="614" spans="1:10" ht="38.25" x14ac:dyDescent="0.2">
      <c r="A614" s="87" t="s">
        <v>781</v>
      </c>
      <c r="B614" s="88" t="s">
        <v>997</v>
      </c>
      <c r="C614" s="87" t="s">
        <v>15</v>
      </c>
      <c r="D614" s="87" t="s">
        <v>998</v>
      </c>
      <c r="E614" s="126" t="s">
        <v>794</v>
      </c>
      <c r="F614" s="126"/>
      <c r="G614" s="89" t="s">
        <v>78</v>
      </c>
      <c r="H614" s="90">
        <v>1.4</v>
      </c>
      <c r="I614" s="91">
        <v>9.92</v>
      </c>
      <c r="J614" s="91">
        <v>13.88</v>
      </c>
    </row>
    <row r="615" spans="1:10" ht="38.25" x14ac:dyDescent="0.2">
      <c r="A615" s="87" t="s">
        <v>781</v>
      </c>
      <c r="B615" s="88" t="s">
        <v>993</v>
      </c>
      <c r="C615" s="87" t="s">
        <v>15</v>
      </c>
      <c r="D615" s="87" t="s">
        <v>994</v>
      </c>
      <c r="E615" s="126" t="s">
        <v>794</v>
      </c>
      <c r="F615" s="126"/>
      <c r="G615" s="89" t="s">
        <v>720</v>
      </c>
      <c r="H615" s="90">
        <v>1.0999999999999999E-2</v>
      </c>
      <c r="I615" s="91">
        <v>46.97</v>
      </c>
      <c r="J615" s="91">
        <v>0.51</v>
      </c>
    </row>
    <row r="616" spans="1:10" ht="38.25" x14ac:dyDescent="0.2">
      <c r="A616" s="87" t="s">
        <v>781</v>
      </c>
      <c r="B616" s="88" t="s">
        <v>999</v>
      </c>
      <c r="C616" s="87" t="s">
        <v>15</v>
      </c>
      <c r="D616" s="87" t="s">
        <v>1000</v>
      </c>
      <c r="E616" s="126" t="s">
        <v>794</v>
      </c>
      <c r="F616" s="126"/>
      <c r="G616" s="89" t="s">
        <v>32</v>
      </c>
      <c r="H616" s="90">
        <v>1</v>
      </c>
      <c r="I616" s="91">
        <v>1.66</v>
      </c>
      <c r="J616" s="91">
        <v>1.66</v>
      </c>
    </row>
    <row r="617" spans="1:10" ht="38.25" x14ac:dyDescent="0.2">
      <c r="A617" s="87" t="s">
        <v>781</v>
      </c>
      <c r="B617" s="88" t="s">
        <v>1001</v>
      </c>
      <c r="C617" s="87" t="s">
        <v>15</v>
      </c>
      <c r="D617" s="87" t="s">
        <v>1002</v>
      </c>
      <c r="E617" s="126" t="s">
        <v>794</v>
      </c>
      <c r="F617" s="126"/>
      <c r="G617" s="89" t="s">
        <v>134</v>
      </c>
      <c r="H617" s="90">
        <v>0.01</v>
      </c>
      <c r="I617" s="91">
        <v>19.16</v>
      </c>
      <c r="J617" s="91">
        <v>0.19</v>
      </c>
    </row>
    <row r="618" spans="1:10" ht="38.25" x14ac:dyDescent="0.2">
      <c r="A618" s="92"/>
      <c r="B618" s="92"/>
      <c r="C618" s="92"/>
      <c r="D618" s="92"/>
      <c r="E618" s="92" t="s">
        <v>801</v>
      </c>
      <c r="F618" s="93">
        <v>27.38</v>
      </c>
      <c r="G618" s="92" t="s">
        <v>802</v>
      </c>
      <c r="H618" s="93">
        <v>0</v>
      </c>
      <c r="I618" s="92" t="s">
        <v>803</v>
      </c>
      <c r="J618" s="93">
        <v>27.38</v>
      </c>
    </row>
    <row r="619" spans="1:10" ht="38.25" x14ac:dyDescent="0.2">
      <c r="A619" s="92"/>
      <c r="B619" s="92"/>
      <c r="C619" s="92"/>
      <c r="D619" s="92"/>
      <c r="E619" s="92" t="s">
        <v>804</v>
      </c>
      <c r="F619" s="93">
        <v>12.57</v>
      </c>
      <c r="G619" s="92"/>
      <c r="H619" s="127" t="s">
        <v>805</v>
      </c>
      <c r="I619" s="127"/>
      <c r="J619" s="93">
        <v>56.19</v>
      </c>
    </row>
    <row r="620" spans="1:10" ht="15" thickBot="1" x14ac:dyDescent="0.25">
      <c r="A620" s="77"/>
      <c r="B620" s="77"/>
      <c r="C620" s="77"/>
      <c r="D620" s="77"/>
      <c r="E620" s="77"/>
      <c r="F620" s="77"/>
      <c r="G620" s="77" t="s">
        <v>806</v>
      </c>
      <c r="H620" s="94">
        <v>2</v>
      </c>
      <c r="I620" s="77" t="s">
        <v>807</v>
      </c>
      <c r="J620" s="78">
        <v>112.38</v>
      </c>
    </row>
    <row r="621" spans="1:10" ht="15" thickTop="1" x14ac:dyDescent="0.2">
      <c r="A621" s="95"/>
      <c r="B621" s="95"/>
      <c r="C621" s="95"/>
      <c r="D621" s="95"/>
      <c r="E621" s="95"/>
      <c r="F621" s="95"/>
      <c r="G621" s="95"/>
      <c r="H621" s="95"/>
      <c r="I621" s="95"/>
      <c r="J621" s="95"/>
    </row>
    <row r="622" spans="1:10" ht="15" x14ac:dyDescent="0.2">
      <c r="A622" s="75" t="s">
        <v>220</v>
      </c>
      <c r="B622" s="17" t="s">
        <v>11</v>
      </c>
      <c r="C622" s="75" t="s">
        <v>12</v>
      </c>
      <c r="D622" s="75" t="s">
        <v>2</v>
      </c>
      <c r="E622" s="124" t="s">
        <v>779</v>
      </c>
      <c r="F622" s="124"/>
      <c r="G622" s="76" t="s">
        <v>3</v>
      </c>
      <c r="H622" s="17" t="s">
        <v>4</v>
      </c>
      <c r="I622" s="17" t="s">
        <v>13</v>
      </c>
      <c r="J622" s="17" t="s">
        <v>17</v>
      </c>
    </row>
    <row r="623" spans="1:10" ht="25.5" x14ac:dyDescent="0.2">
      <c r="A623" s="19" t="s">
        <v>780</v>
      </c>
      <c r="B623" s="20" t="s">
        <v>221</v>
      </c>
      <c r="C623" s="19" t="s">
        <v>15</v>
      </c>
      <c r="D623" s="19" t="s">
        <v>222</v>
      </c>
      <c r="E623" s="125">
        <v>46.02</v>
      </c>
      <c r="F623" s="125"/>
      <c r="G623" s="21" t="s">
        <v>78</v>
      </c>
      <c r="H623" s="86">
        <v>1</v>
      </c>
      <c r="I623" s="82">
        <v>74.52</v>
      </c>
      <c r="J623" s="82">
        <v>74.52</v>
      </c>
    </row>
    <row r="624" spans="1:10" ht="38.25" x14ac:dyDescent="0.2">
      <c r="A624" s="87" t="s">
        <v>781</v>
      </c>
      <c r="B624" s="88" t="s">
        <v>962</v>
      </c>
      <c r="C624" s="87" t="s">
        <v>15</v>
      </c>
      <c r="D624" s="87" t="s">
        <v>963</v>
      </c>
      <c r="E624" s="126" t="s">
        <v>784</v>
      </c>
      <c r="F624" s="126"/>
      <c r="G624" s="89" t="s">
        <v>785</v>
      </c>
      <c r="H624" s="90">
        <v>1.1000000000000001</v>
      </c>
      <c r="I624" s="91">
        <v>27.08</v>
      </c>
      <c r="J624" s="91">
        <v>29.78</v>
      </c>
    </row>
    <row r="625" spans="1:10" ht="38.25" x14ac:dyDescent="0.2">
      <c r="A625" s="87" t="s">
        <v>781</v>
      </c>
      <c r="B625" s="88" t="s">
        <v>960</v>
      </c>
      <c r="C625" s="87" t="s">
        <v>15</v>
      </c>
      <c r="D625" s="87" t="s">
        <v>961</v>
      </c>
      <c r="E625" s="126" t="s">
        <v>784</v>
      </c>
      <c r="F625" s="126"/>
      <c r="G625" s="89" t="s">
        <v>785</v>
      </c>
      <c r="H625" s="90">
        <v>1.1000000000000001</v>
      </c>
      <c r="I625" s="91">
        <v>18.57</v>
      </c>
      <c r="J625" s="91">
        <v>20.420000000000002</v>
      </c>
    </row>
    <row r="626" spans="1:10" ht="38.25" x14ac:dyDescent="0.2">
      <c r="A626" s="87" t="s">
        <v>781</v>
      </c>
      <c r="B626" s="88" t="s">
        <v>1003</v>
      </c>
      <c r="C626" s="87" t="s">
        <v>15</v>
      </c>
      <c r="D626" s="87" t="s">
        <v>1004</v>
      </c>
      <c r="E626" s="126" t="s">
        <v>794</v>
      </c>
      <c r="F626" s="126"/>
      <c r="G626" s="89" t="s">
        <v>78</v>
      </c>
      <c r="H626" s="90">
        <v>1.3</v>
      </c>
      <c r="I626" s="91">
        <v>14.5</v>
      </c>
      <c r="J626" s="91">
        <v>18.850000000000001</v>
      </c>
    </row>
    <row r="627" spans="1:10" ht="38.25" x14ac:dyDescent="0.2">
      <c r="A627" s="87" t="s">
        <v>781</v>
      </c>
      <c r="B627" s="88" t="s">
        <v>993</v>
      </c>
      <c r="C627" s="87" t="s">
        <v>15</v>
      </c>
      <c r="D627" s="87" t="s">
        <v>994</v>
      </c>
      <c r="E627" s="126" t="s">
        <v>794</v>
      </c>
      <c r="F627" s="126"/>
      <c r="G627" s="89" t="s">
        <v>720</v>
      </c>
      <c r="H627" s="90">
        <v>4.5999999999999999E-2</v>
      </c>
      <c r="I627" s="91">
        <v>46.97</v>
      </c>
      <c r="J627" s="91">
        <v>2.16</v>
      </c>
    </row>
    <row r="628" spans="1:10" ht="38.25" x14ac:dyDescent="0.2">
      <c r="A628" s="87" t="s">
        <v>781</v>
      </c>
      <c r="B628" s="88" t="s">
        <v>1005</v>
      </c>
      <c r="C628" s="87" t="s">
        <v>15</v>
      </c>
      <c r="D628" s="87" t="s">
        <v>1006</v>
      </c>
      <c r="E628" s="126" t="s">
        <v>794</v>
      </c>
      <c r="F628" s="126"/>
      <c r="G628" s="89" t="s">
        <v>32</v>
      </c>
      <c r="H628" s="90">
        <v>1</v>
      </c>
      <c r="I628" s="91">
        <v>2.87</v>
      </c>
      <c r="J628" s="91">
        <v>2.87</v>
      </c>
    </row>
    <row r="629" spans="1:10" ht="38.25" x14ac:dyDescent="0.2">
      <c r="A629" s="87" t="s">
        <v>781</v>
      </c>
      <c r="B629" s="88" t="s">
        <v>1001</v>
      </c>
      <c r="C629" s="87" t="s">
        <v>15</v>
      </c>
      <c r="D629" s="87" t="s">
        <v>1002</v>
      </c>
      <c r="E629" s="126" t="s">
        <v>794</v>
      </c>
      <c r="F629" s="126"/>
      <c r="G629" s="89" t="s">
        <v>134</v>
      </c>
      <c r="H629" s="90">
        <v>2.3E-2</v>
      </c>
      <c r="I629" s="91">
        <v>19.16</v>
      </c>
      <c r="J629" s="91">
        <v>0.44</v>
      </c>
    </row>
    <row r="630" spans="1:10" ht="38.25" x14ac:dyDescent="0.2">
      <c r="A630" s="92"/>
      <c r="B630" s="92"/>
      <c r="C630" s="92"/>
      <c r="D630" s="92"/>
      <c r="E630" s="92" t="s">
        <v>801</v>
      </c>
      <c r="F630" s="93">
        <v>50.2</v>
      </c>
      <c r="G630" s="92" t="s">
        <v>802</v>
      </c>
      <c r="H630" s="93">
        <v>0</v>
      </c>
      <c r="I630" s="92" t="s">
        <v>803</v>
      </c>
      <c r="J630" s="93">
        <v>50.2</v>
      </c>
    </row>
    <row r="631" spans="1:10" ht="38.25" x14ac:dyDescent="0.2">
      <c r="A631" s="92"/>
      <c r="B631" s="92"/>
      <c r="C631" s="92"/>
      <c r="D631" s="92"/>
      <c r="E631" s="92" t="s">
        <v>804</v>
      </c>
      <c r="F631" s="93">
        <v>21.47</v>
      </c>
      <c r="G631" s="92"/>
      <c r="H631" s="127" t="s">
        <v>805</v>
      </c>
      <c r="I631" s="127"/>
      <c r="J631" s="93">
        <v>95.99</v>
      </c>
    </row>
    <row r="632" spans="1:10" ht="15" thickBot="1" x14ac:dyDescent="0.25">
      <c r="A632" s="77"/>
      <c r="B632" s="77"/>
      <c r="C632" s="77"/>
      <c r="D632" s="77"/>
      <c r="E632" s="77"/>
      <c r="F632" s="77"/>
      <c r="G632" s="77" t="s">
        <v>806</v>
      </c>
      <c r="H632" s="94">
        <v>20</v>
      </c>
      <c r="I632" s="77" t="s">
        <v>807</v>
      </c>
      <c r="J632" s="78">
        <v>1919.8</v>
      </c>
    </row>
    <row r="633" spans="1:10" ht="15" thickTop="1" x14ac:dyDescent="0.2">
      <c r="A633" s="95"/>
      <c r="B633" s="95"/>
      <c r="C633" s="95"/>
      <c r="D633" s="95"/>
      <c r="E633" s="95"/>
      <c r="F633" s="95"/>
      <c r="G633" s="95"/>
      <c r="H633" s="95"/>
      <c r="I633" s="95"/>
      <c r="J633" s="95"/>
    </row>
    <row r="634" spans="1:10" ht="15" x14ac:dyDescent="0.2">
      <c r="A634" s="75" t="s">
        <v>223</v>
      </c>
      <c r="B634" s="17" t="s">
        <v>11</v>
      </c>
      <c r="C634" s="75" t="s">
        <v>12</v>
      </c>
      <c r="D634" s="75" t="s">
        <v>2</v>
      </c>
      <c r="E634" s="124" t="s">
        <v>779</v>
      </c>
      <c r="F634" s="124"/>
      <c r="G634" s="76" t="s">
        <v>3</v>
      </c>
      <c r="H634" s="17" t="s">
        <v>4</v>
      </c>
      <c r="I634" s="17" t="s">
        <v>13</v>
      </c>
      <c r="J634" s="17" t="s">
        <v>17</v>
      </c>
    </row>
    <row r="635" spans="1:10" ht="25.5" x14ac:dyDescent="0.2">
      <c r="A635" s="19" t="s">
        <v>780</v>
      </c>
      <c r="B635" s="20" t="s">
        <v>224</v>
      </c>
      <c r="C635" s="19" t="s">
        <v>15</v>
      </c>
      <c r="D635" s="19" t="s">
        <v>225</v>
      </c>
      <c r="E635" s="125">
        <v>42.05</v>
      </c>
      <c r="F635" s="125"/>
      <c r="G635" s="21" t="s">
        <v>32</v>
      </c>
      <c r="H635" s="86">
        <v>1</v>
      </c>
      <c r="I635" s="82">
        <v>42.24</v>
      </c>
      <c r="J635" s="82">
        <v>42.24</v>
      </c>
    </row>
    <row r="636" spans="1:10" ht="38.25" x14ac:dyDescent="0.2">
      <c r="A636" s="87" t="s">
        <v>781</v>
      </c>
      <c r="B636" s="88" t="s">
        <v>814</v>
      </c>
      <c r="C636" s="87" t="s">
        <v>15</v>
      </c>
      <c r="D636" s="87" t="s">
        <v>815</v>
      </c>
      <c r="E636" s="126" t="s">
        <v>784</v>
      </c>
      <c r="F636" s="126"/>
      <c r="G636" s="89" t="s">
        <v>785</v>
      </c>
      <c r="H636" s="90">
        <v>0.25</v>
      </c>
      <c r="I636" s="91">
        <v>27.08</v>
      </c>
      <c r="J636" s="91">
        <v>6.77</v>
      </c>
    </row>
    <row r="637" spans="1:10" ht="38.25" x14ac:dyDescent="0.2">
      <c r="A637" s="87" t="s">
        <v>781</v>
      </c>
      <c r="B637" s="88" t="s">
        <v>812</v>
      </c>
      <c r="C637" s="87" t="s">
        <v>15</v>
      </c>
      <c r="D637" s="87" t="s">
        <v>813</v>
      </c>
      <c r="E637" s="126" t="s">
        <v>784</v>
      </c>
      <c r="F637" s="126"/>
      <c r="G637" s="89" t="s">
        <v>785</v>
      </c>
      <c r="H637" s="90">
        <v>0.25</v>
      </c>
      <c r="I637" s="91">
        <v>18.57</v>
      </c>
      <c r="J637" s="91">
        <v>4.6399999999999997</v>
      </c>
    </row>
    <row r="638" spans="1:10" ht="38.25" x14ac:dyDescent="0.2">
      <c r="A638" s="87" t="s">
        <v>781</v>
      </c>
      <c r="B638" s="88" t="s">
        <v>1007</v>
      </c>
      <c r="C638" s="87" t="s">
        <v>15</v>
      </c>
      <c r="D638" s="87" t="s">
        <v>1008</v>
      </c>
      <c r="E638" s="126" t="s">
        <v>794</v>
      </c>
      <c r="F638" s="126"/>
      <c r="G638" s="89" t="s">
        <v>32</v>
      </c>
      <c r="H638" s="90">
        <v>1</v>
      </c>
      <c r="I638" s="91">
        <v>30.83</v>
      </c>
      <c r="J638" s="91">
        <v>30.83</v>
      </c>
    </row>
    <row r="639" spans="1:10" ht="38.25" x14ac:dyDescent="0.2">
      <c r="A639" s="92"/>
      <c r="B639" s="92"/>
      <c r="C639" s="92"/>
      <c r="D639" s="92"/>
      <c r="E639" s="92" t="s">
        <v>801</v>
      </c>
      <c r="F639" s="93">
        <v>11.41</v>
      </c>
      <c r="G639" s="92" t="s">
        <v>802</v>
      </c>
      <c r="H639" s="93">
        <v>0</v>
      </c>
      <c r="I639" s="92" t="s">
        <v>803</v>
      </c>
      <c r="J639" s="93">
        <v>11.41</v>
      </c>
    </row>
    <row r="640" spans="1:10" ht="38.25" x14ac:dyDescent="0.2">
      <c r="A640" s="92"/>
      <c r="B640" s="92"/>
      <c r="C640" s="92"/>
      <c r="D640" s="92"/>
      <c r="E640" s="92" t="s">
        <v>804</v>
      </c>
      <c r="F640" s="93">
        <v>12.17</v>
      </c>
      <c r="G640" s="92"/>
      <c r="H640" s="127" t="s">
        <v>805</v>
      </c>
      <c r="I640" s="127"/>
      <c r="J640" s="93">
        <v>54.41</v>
      </c>
    </row>
    <row r="641" spans="1:10" ht="15" thickBot="1" x14ac:dyDescent="0.25">
      <c r="A641" s="77"/>
      <c r="B641" s="77"/>
      <c r="C641" s="77"/>
      <c r="D641" s="77"/>
      <c r="E641" s="77"/>
      <c r="F641" s="77"/>
      <c r="G641" s="77" t="s">
        <v>806</v>
      </c>
      <c r="H641" s="94">
        <v>4</v>
      </c>
      <c r="I641" s="77" t="s">
        <v>807</v>
      </c>
      <c r="J641" s="78">
        <v>217.64</v>
      </c>
    </row>
    <row r="642" spans="1:10" ht="15" thickTop="1" x14ac:dyDescent="0.2">
      <c r="A642" s="95"/>
      <c r="B642" s="95"/>
      <c r="C642" s="95"/>
      <c r="D642" s="95"/>
      <c r="E642" s="95"/>
      <c r="F642" s="95"/>
      <c r="G642" s="95"/>
      <c r="H642" s="95"/>
      <c r="I642" s="95"/>
      <c r="J642" s="95"/>
    </row>
    <row r="643" spans="1:10" ht="15" x14ac:dyDescent="0.2">
      <c r="A643" s="75" t="s">
        <v>226</v>
      </c>
      <c r="B643" s="17" t="s">
        <v>11</v>
      </c>
      <c r="C643" s="75" t="s">
        <v>12</v>
      </c>
      <c r="D643" s="75" t="s">
        <v>2</v>
      </c>
      <c r="E643" s="124" t="s">
        <v>779</v>
      </c>
      <c r="F643" s="124"/>
      <c r="G643" s="76" t="s">
        <v>3</v>
      </c>
      <c r="H643" s="17" t="s">
        <v>4</v>
      </c>
      <c r="I643" s="17" t="s">
        <v>13</v>
      </c>
      <c r="J643" s="17" t="s">
        <v>17</v>
      </c>
    </row>
    <row r="644" spans="1:10" ht="25.5" x14ac:dyDescent="0.2">
      <c r="A644" s="19" t="s">
        <v>780</v>
      </c>
      <c r="B644" s="20" t="s">
        <v>227</v>
      </c>
      <c r="C644" s="19" t="s">
        <v>15</v>
      </c>
      <c r="D644" s="19" t="s">
        <v>228</v>
      </c>
      <c r="E644" s="125">
        <v>49.03</v>
      </c>
      <c r="F644" s="125"/>
      <c r="G644" s="21" t="s">
        <v>32</v>
      </c>
      <c r="H644" s="86">
        <v>1</v>
      </c>
      <c r="I644" s="82">
        <v>403.87</v>
      </c>
      <c r="J644" s="82">
        <v>403.87</v>
      </c>
    </row>
    <row r="645" spans="1:10" ht="38.25" x14ac:dyDescent="0.2">
      <c r="A645" s="87" t="s">
        <v>781</v>
      </c>
      <c r="B645" s="88" t="s">
        <v>962</v>
      </c>
      <c r="C645" s="87" t="s">
        <v>15</v>
      </c>
      <c r="D645" s="87" t="s">
        <v>963</v>
      </c>
      <c r="E645" s="126" t="s">
        <v>784</v>
      </c>
      <c r="F645" s="126"/>
      <c r="G645" s="89" t="s">
        <v>785</v>
      </c>
      <c r="H645" s="90">
        <v>1</v>
      </c>
      <c r="I645" s="91">
        <v>27.08</v>
      </c>
      <c r="J645" s="91">
        <v>27.08</v>
      </c>
    </row>
    <row r="646" spans="1:10" ht="38.25" x14ac:dyDescent="0.2">
      <c r="A646" s="87" t="s">
        <v>781</v>
      </c>
      <c r="B646" s="88" t="s">
        <v>960</v>
      </c>
      <c r="C646" s="87" t="s">
        <v>15</v>
      </c>
      <c r="D646" s="87" t="s">
        <v>961</v>
      </c>
      <c r="E646" s="126" t="s">
        <v>784</v>
      </c>
      <c r="F646" s="126"/>
      <c r="G646" s="89" t="s">
        <v>785</v>
      </c>
      <c r="H646" s="90">
        <v>1</v>
      </c>
      <c r="I646" s="91">
        <v>18.57</v>
      </c>
      <c r="J646" s="91">
        <v>18.57</v>
      </c>
    </row>
    <row r="647" spans="1:10" ht="38.25" x14ac:dyDescent="0.2">
      <c r="A647" s="87" t="s">
        <v>781</v>
      </c>
      <c r="B647" s="88" t="s">
        <v>1009</v>
      </c>
      <c r="C647" s="87" t="s">
        <v>15</v>
      </c>
      <c r="D647" s="87" t="s">
        <v>1010</v>
      </c>
      <c r="E647" s="126" t="s">
        <v>794</v>
      </c>
      <c r="F647" s="126"/>
      <c r="G647" s="89" t="s">
        <v>32</v>
      </c>
      <c r="H647" s="90">
        <v>1</v>
      </c>
      <c r="I647" s="91">
        <v>358.22</v>
      </c>
      <c r="J647" s="91">
        <v>358.22</v>
      </c>
    </row>
    <row r="648" spans="1:10" ht="38.25" x14ac:dyDescent="0.2">
      <c r="A648" s="92"/>
      <c r="B648" s="92"/>
      <c r="C648" s="92"/>
      <c r="D648" s="92"/>
      <c r="E648" s="92" t="s">
        <v>801</v>
      </c>
      <c r="F648" s="93">
        <v>45.65</v>
      </c>
      <c r="G648" s="92" t="s">
        <v>802</v>
      </c>
      <c r="H648" s="93">
        <v>0</v>
      </c>
      <c r="I648" s="92" t="s">
        <v>803</v>
      </c>
      <c r="J648" s="93">
        <v>45.65</v>
      </c>
    </row>
    <row r="649" spans="1:10" ht="38.25" x14ac:dyDescent="0.2">
      <c r="A649" s="92"/>
      <c r="B649" s="92"/>
      <c r="C649" s="92"/>
      <c r="D649" s="92"/>
      <c r="E649" s="92" t="s">
        <v>804</v>
      </c>
      <c r="F649" s="93">
        <v>116.39</v>
      </c>
      <c r="G649" s="92"/>
      <c r="H649" s="127" t="s">
        <v>805</v>
      </c>
      <c r="I649" s="127"/>
      <c r="J649" s="93">
        <v>520.26</v>
      </c>
    </row>
    <row r="650" spans="1:10" ht="15" thickBot="1" x14ac:dyDescent="0.25">
      <c r="A650" s="77"/>
      <c r="B650" s="77"/>
      <c r="C650" s="77"/>
      <c r="D650" s="77"/>
      <c r="E650" s="77"/>
      <c r="F650" s="77"/>
      <c r="G650" s="77" t="s">
        <v>806</v>
      </c>
      <c r="H650" s="94">
        <v>1</v>
      </c>
      <c r="I650" s="77" t="s">
        <v>807</v>
      </c>
      <c r="J650" s="78">
        <v>520.26</v>
      </c>
    </row>
    <row r="651" spans="1:10" ht="15" thickTop="1" x14ac:dyDescent="0.2">
      <c r="A651" s="95"/>
      <c r="B651" s="95"/>
      <c r="C651" s="95"/>
      <c r="D651" s="95"/>
      <c r="E651" s="95"/>
      <c r="F651" s="95"/>
      <c r="G651" s="95"/>
      <c r="H651" s="95"/>
      <c r="I651" s="95"/>
      <c r="J651" s="95"/>
    </row>
    <row r="652" spans="1:10" ht="15" x14ac:dyDescent="0.2">
      <c r="A652" s="75" t="s">
        <v>229</v>
      </c>
      <c r="B652" s="17" t="s">
        <v>11</v>
      </c>
      <c r="C652" s="75" t="s">
        <v>12</v>
      </c>
      <c r="D652" s="75" t="s">
        <v>2</v>
      </c>
      <c r="E652" s="124" t="s">
        <v>779</v>
      </c>
      <c r="F652" s="124"/>
      <c r="G652" s="76" t="s">
        <v>3</v>
      </c>
      <c r="H652" s="17" t="s">
        <v>4</v>
      </c>
      <c r="I652" s="17" t="s">
        <v>13</v>
      </c>
      <c r="J652" s="17" t="s">
        <v>17</v>
      </c>
    </row>
    <row r="653" spans="1:10" ht="25.5" x14ac:dyDescent="0.2">
      <c r="A653" s="19" t="s">
        <v>780</v>
      </c>
      <c r="B653" s="20" t="s">
        <v>230</v>
      </c>
      <c r="C653" s="19" t="s">
        <v>15</v>
      </c>
      <c r="D653" s="19" t="s">
        <v>231</v>
      </c>
      <c r="E653" s="125">
        <v>47.05</v>
      </c>
      <c r="F653" s="125"/>
      <c r="G653" s="21" t="s">
        <v>32</v>
      </c>
      <c r="H653" s="86">
        <v>1</v>
      </c>
      <c r="I653" s="82">
        <v>953.87</v>
      </c>
      <c r="J653" s="82">
        <v>953.87</v>
      </c>
    </row>
    <row r="654" spans="1:10" ht="38.25" x14ac:dyDescent="0.2">
      <c r="A654" s="87" t="s">
        <v>781</v>
      </c>
      <c r="B654" s="88" t="s">
        <v>962</v>
      </c>
      <c r="C654" s="87" t="s">
        <v>15</v>
      </c>
      <c r="D654" s="87" t="s">
        <v>963</v>
      </c>
      <c r="E654" s="126" t="s">
        <v>784</v>
      </c>
      <c r="F654" s="126"/>
      <c r="G654" s="89" t="s">
        <v>785</v>
      </c>
      <c r="H654" s="90">
        <v>0.6</v>
      </c>
      <c r="I654" s="91">
        <v>27.08</v>
      </c>
      <c r="J654" s="91">
        <v>16.239999999999998</v>
      </c>
    </row>
    <row r="655" spans="1:10" ht="38.25" x14ac:dyDescent="0.2">
      <c r="A655" s="87" t="s">
        <v>781</v>
      </c>
      <c r="B655" s="88" t="s">
        <v>960</v>
      </c>
      <c r="C655" s="87" t="s">
        <v>15</v>
      </c>
      <c r="D655" s="87" t="s">
        <v>961</v>
      </c>
      <c r="E655" s="126" t="s">
        <v>784</v>
      </c>
      <c r="F655" s="126"/>
      <c r="G655" s="89" t="s">
        <v>785</v>
      </c>
      <c r="H655" s="90">
        <v>0.6</v>
      </c>
      <c r="I655" s="91">
        <v>18.57</v>
      </c>
      <c r="J655" s="91">
        <v>11.14</v>
      </c>
    </row>
    <row r="656" spans="1:10" ht="38.25" x14ac:dyDescent="0.2">
      <c r="A656" s="87" t="s">
        <v>781</v>
      </c>
      <c r="B656" s="88" t="s">
        <v>1011</v>
      </c>
      <c r="C656" s="87" t="s">
        <v>15</v>
      </c>
      <c r="D656" s="87" t="s">
        <v>1012</v>
      </c>
      <c r="E656" s="126" t="s">
        <v>794</v>
      </c>
      <c r="F656" s="126"/>
      <c r="G656" s="89" t="s">
        <v>78</v>
      </c>
      <c r="H656" s="90">
        <v>1.92</v>
      </c>
      <c r="I656" s="91">
        <v>0.19</v>
      </c>
      <c r="J656" s="91">
        <v>0.36</v>
      </c>
    </row>
    <row r="657" spans="1:10" ht="38.25" x14ac:dyDescent="0.2">
      <c r="A657" s="87" t="s">
        <v>781</v>
      </c>
      <c r="B657" s="88" t="s">
        <v>1013</v>
      </c>
      <c r="C657" s="87" t="s">
        <v>15</v>
      </c>
      <c r="D657" s="87" t="s">
        <v>1014</v>
      </c>
      <c r="E657" s="126" t="s">
        <v>794</v>
      </c>
      <c r="F657" s="126"/>
      <c r="G657" s="89" t="s">
        <v>32</v>
      </c>
      <c r="H657" s="90">
        <v>1</v>
      </c>
      <c r="I657" s="91">
        <v>926.13</v>
      </c>
      <c r="J657" s="91">
        <v>926.13</v>
      </c>
    </row>
    <row r="658" spans="1:10" ht="38.25" x14ac:dyDescent="0.2">
      <c r="A658" s="92"/>
      <c r="B658" s="92"/>
      <c r="C658" s="92"/>
      <c r="D658" s="92"/>
      <c r="E658" s="92" t="s">
        <v>801</v>
      </c>
      <c r="F658" s="93">
        <v>27.38</v>
      </c>
      <c r="G658" s="92" t="s">
        <v>802</v>
      </c>
      <c r="H658" s="93">
        <v>0</v>
      </c>
      <c r="I658" s="92" t="s">
        <v>803</v>
      </c>
      <c r="J658" s="93">
        <v>27.38</v>
      </c>
    </row>
    <row r="659" spans="1:10" ht="38.25" x14ac:dyDescent="0.2">
      <c r="A659" s="92"/>
      <c r="B659" s="92"/>
      <c r="C659" s="92"/>
      <c r="D659" s="92"/>
      <c r="E659" s="92" t="s">
        <v>804</v>
      </c>
      <c r="F659" s="93">
        <v>274.89999999999998</v>
      </c>
      <c r="G659" s="92"/>
      <c r="H659" s="127" t="s">
        <v>805</v>
      </c>
      <c r="I659" s="127"/>
      <c r="J659" s="93">
        <v>1228.77</v>
      </c>
    </row>
    <row r="660" spans="1:10" ht="15" thickBot="1" x14ac:dyDescent="0.25">
      <c r="A660" s="77"/>
      <c r="B660" s="77"/>
      <c r="C660" s="77"/>
      <c r="D660" s="77"/>
      <c r="E660" s="77"/>
      <c r="F660" s="77"/>
      <c r="G660" s="77" t="s">
        <v>806</v>
      </c>
      <c r="H660" s="94">
        <v>2</v>
      </c>
      <c r="I660" s="77" t="s">
        <v>807</v>
      </c>
      <c r="J660" s="78">
        <v>2457.54</v>
      </c>
    </row>
    <row r="661" spans="1:10" ht="15" thickTop="1" x14ac:dyDescent="0.2">
      <c r="A661" s="95"/>
      <c r="B661" s="95"/>
      <c r="C661" s="95"/>
      <c r="D661" s="95"/>
      <c r="E661" s="95"/>
      <c r="F661" s="95"/>
      <c r="G661" s="95"/>
      <c r="H661" s="95"/>
      <c r="I661" s="95"/>
      <c r="J661" s="95"/>
    </row>
    <row r="662" spans="1:10" ht="15" x14ac:dyDescent="0.2">
      <c r="A662" s="75" t="s">
        <v>232</v>
      </c>
      <c r="B662" s="17" t="s">
        <v>11</v>
      </c>
      <c r="C662" s="75" t="s">
        <v>12</v>
      </c>
      <c r="D662" s="75" t="s">
        <v>2</v>
      </c>
      <c r="E662" s="124" t="s">
        <v>779</v>
      </c>
      <c r="F662" s="124"/>
      <c r="G662" s="76" t="s">
        <v>3</v>
      </c>
      <c r="H662" s="17" t="s">
        <v>4</v>
      </c>
      <c r="I662" s="17" t="s">
        <v>13</v>
      </c>
      <c r="J662" s="17" t="s">
        <v>17</v>
      </c>
    </row>
    <row r="663" spans="1:10" ht="25.5" x14ac:dyDescent="0.2">
      <c r="A663" s="19" t="s">
        <v>780</v>
      </c>
      <c r="B663" s="20" t="s">
        <v>233</v>
      </c>
      <c r="C663" s="19" t="s">
        <v>15</v>
      </c>
      <c r="D663" s="19" t="s">
        <v>234</v>
      </c>
      <c r="E663" s="125">
        <v>49.01</v>
      </c>
      <c r="F663" s="125"/>
      <c r="G663" s="21" t="s">
        <v>32</v>
      </c>
      <c r="H663" s="86">
        <v>1</v>
      </c>
      <c r="I663" s="82">
        <v>94.57</v>
      </c>
      <c r="J663" s="82">
        <v>94.57</v>
      </c>
    </row>
    <row r="664" spans="1:10" ht="38.25" x14ac:dyDescent="0.2">
      <c r="A664" s="87" t="s">
        <v>781</v>
      </c>
      <c r="B664" s="88" t="s">
        <v>962</v>
      </c>
      <c r="C664" s="87" t="s">
        <v>15</v>
      </c>
      <c r="D664" s="87" t="s">
        <v>963</v>
      </c>
      <c r="E664" s="126" t="s">
        <v>784</v>
      </c>
      <c r="F664" s="126"/>
      <c r="G664" s="89" t="s">
        <v>785</v>
      </c>
      <c r="H664" s="90">
        <v>1</v>
      </c>
      <c r="I664" s="91">
        <v>27.08</v>
      </c>
      <c r="J664" s="91">
        <v>27.08</v>
      </c>
    </row>
    <row r="665" spans="1:10" ht="38.25" x14ac:dyDescent="0.2">
      <c r="A665" s="87" t="s">
        <v>781</v>
      </c>
      <c r="B665" s="88" t="s">
        <v>960</v>
      </c>
      <c r="C665" s="87" t="s">
        <v>15</v>
      </c>
      <c r="D665" s="87" t="s">
        <v>961</v>
      </c>
      <c r="E665" s="126" t="s">
        <v>784</v>
      </c>
      <c r="F665" s="126"/>
      <c r="G665" s="89" t="s">
        <v>785</v>
      </c>
      <c r="H665" s="90">
        <v>1</v>
      </c>
      <c r="I665" s="91">
        <v>18.57</v>
      </c>
      <c r="J665" s="91">
        <v>18.57</v>
      </c>
    </row>
    <row r="666" spans="1:10" ht="38.25" x14ac:dyDescent="0.2">
      <c r="A666" s="87" t="s">
        <v>781</v>
      </c>
      <c r="B666" s="88" t="s">
        <v>1015</v>
      </c>
      <c r="C666" s="87" t="s">
        <v>15</v>
      </c>
      <c r="D666" s="87" t="s">
        <v>1016</v>
      </c>
      <c r="E666" s="126" t="s">
        <v>794</v>
      </c>
      <c r="F666" s="126"/>
      <c r="G666" s="89" t="s">
        <v>32</v>
      </c>
      <c r="H666" s="90">
        <v>1</v>
      </c>
      <c r="I666" s="91">
        <v>26.77</v>
      </c>
      <c r="J666" s="91">
        <v>26.77</v>
      </c>
    </row>
    <row r="667" spans="1:10" ht="38.25" x14ac:dyDescent="0.2">
      <c r="A667" s="87" t="s">
        <v>781</v>
      </c>
      <c r="B667" s="88" t="s">
        <v>1017</v>
      </c>
      <c r="C667" s="87" t="s">
        <v>15</v>
      </c>
      <c r="D667" s="87" t="s">
        <v>1018</v>
      </c>
      <c r="E667" s="126" t="s">
        <v>794</v>
      </c>
      <c r="F667" s="126"/>
      <c r="G667" s="89" t="s">
        <v>32</v>
      </c>
      <c r="H667" s="90">
        <v>1</v>
      </c>
      <c r="I667" s="91">
        <v>22.15</v>
      </c>
      <c r="J667" s="91">
        <v>22.15</v>
      </c>
    </row>
    <row r="668" spans="1:10" ht="38.25" x14ac:dyDescent="0.2">
      <c r="A668" s="92"/>
      <c r="B668" s="92"/>
      <c r="C668" s="92"/>
      <c r="D668" s="92"/>
      <c r="E668" s="92" t="s">
        <v>801</v>
      </c>
      <c r="F668" s="93">
        <v>45.65</v>
      </c>
      <c r="G668" s="92" t="s">
        <v>802</v>
      </c>
      <c r="H668" s="93">
        <v>0</v>
      </c>
      <c r="I668" s="92" t="s">
        <v>803</v>
      </c>
      <c r="J668" s="93">
        <v>45.65</v>
      </c>
    </row>
    <row r="669" spans="1:10" ht="38.25" x14ac:dyDescent="0.2">
      <c r="A669" s="92"/>
      <c r="B669" s="92"/>
      <c r="C669" s="92"/>
      <c r="D669" s="92"/>
      <c r="E669" s="92" t="s">
        <v>804</v>
      </c>
      <c r="F669" s="93">
        <v>27.25</v>
      </c>
      <c r="G669" s="92"/>
      <c r="H669" s="127" t="s">
        <v>805</v>
      </c>
      <c r="I669" s="127"/>
      <c r="J669" s="93">
        <v>121.82</v>
      </c>
    </row>
    <row r="670" spans="1:10" ht="15" thickBot="1" x14ac:dyDescent="0.25">
      <c r="A670" s="77"/>
      <c r="B670" s="77"/>
      <c r="C670" s="77"/>
      <c r="D670" s="77"/>
      <c r="E670" s="77"/>
      <c r="F670" s="77"/>
      <c r="G670" s="77" t="s">
        <v>806</v>
      </c>
      <c r="H670" s="94">
        <v>2</v>
      </c>
      <c r="I670" s="77" t="s">
        <v>807</v>
      </c>
      <c r="J670" s="78">
        <v>243.64</v>
      </c>
    </row>
    <row r="671" spans="1:10" ht="15" thickTop="1" x14ac:dyDescent="0.2">
      <c r="A671" s="95"/>
      <c r="B671" s="95"/>
      <c r="C671" s="95"/>
      <c r="D671" s="95"/>
      <c r="E671" s="95"/>
      <c r="F671" s="95"/>
      <c r="G671" s="95"/>
      <c r="H671" s="95"/>
      <c r="I671" s="95"/>
      <c r="J671" s="95"/>
    </row>
    <row r="672" spans="1:10" ht="15" x14ac:dyDescent="0.2">
      <c r="A672" s="75" t="s">
        <v>235</v>
      </c>
      <c r="B672" s="17" t="s">
        <v>11</v>
      </c>
      <c r="C672" s="75" t="s">
        <v>12</v>
      </c>
      <c r="D672" s="75" t="s">
        <v>2</v>
      </c>
      <c r="E672" s="124" t="s">
        <v>779</v>
      </c>
      <c r="F672" s="124"/>
      <c r="G672" s="76" t="s">
        <v>3</v>
      </c>
      <c r="H672" s="17" t="s">
        <v>4</v>
      </c>
      <c r="I672" s="17" t="s">
        <v>13</v>
      </c>
      <c r="J672" s="17" t="s">
        <v>17</v>
      </c>
    </row>
    <row r="673" spans="1:10" ht="25.5" x14ac:dyDescent="0.2">
      <c r="A673" s="19" t="s">
        <v>780</v>
      </c>
      <c r="B673" s="20" t="s">
        <v>236</v>
      </c>
      <c r="C673" s="19" t="s">
        <v>15</v>
      </c>
      <c r="D673" s="19" t="s">
        <v>237</v>
      </c>
      <c r="E673" s="125">
        <v>49.01</v>
      </c>
      <c r="F673" s="125"/>
      <c r="G673" s="21" t="s">
        <v>32</v>
      </c>
      <c r="H673" s="86">
        <v>1</v>
      </c>
      <c r="I673" s="82">
        <v>108.36</v>
      </c>
      <c r="J673" s="82">
        <v>108.36</v>
      </c>
    </row>
    <row r="674" spans="1:10" ht="38.25" x14ac:dyDescent="0.2">
      <c r="A674" s="87" t="s">
        <v>781</v>
      </c>
      <c r="B674" s="88" t="s">
        <v>962</v>
      </c>
      <c r="C674" s="87" t="s">
        <v>15</v>
      </c>
      <c r="D674" s="87" t="s">
        <v>963</v>
      </c>
      <c r="E674" s="126" t="s">
        <v>784</v>
      </c>
      <c r="F674" s="126"/>
      <c r="G674" s="89" t="s">
        <v>785</v>
      </c>
      <c r="H674" s="90">
        <v>1</v>
      </c>
      <c r="I674" s="91">
        <v>27.08</v>
      </c>
      <c r="J674" s="91">
        <v>27.08</v>
      </c>
    </row>
    <row r="675" spans="1:10" ht="38.25" x14ac:dyDescent="0.2">
      <c r="A675" s="87" t="s">
        <v>781</v>
      </c>
      <c r="B675" s="88" t="s">
        <v>960</v>
      </c>
      <c r="C675" s="87" t="s">
        <v>15</v>
      </c>
      <c r="D675" s="87" t="s">
        <v>961</v>
      </c>
      <c r="E675" s="126" t="s">
        <v>784</v>
      </c>
      <c r="F675" s="126"/>
      <c r="G675" s="89" t="s">
        <v>785</v>
      </c>
      <c r="H675" s="90">
        <v>1</v>
      </c>
      <c r="I675" s="91">
        <v>18.57</v>
      </c>
      <c r="J675" s="91">
        <v>18.57</v>
      </c>
    </row>
    <row r="676" spans="1:10" ht="38.25" x14ac:dyDescent="0.2">
      <c r="A676" s="87" t="s">
        <v>781</v>
      </c>
      <c r="B676" s="88" t="s">
        <v>1019</v>
      </c>
      <c r="C676" s="87" t="s">
        <v>15</v>
      </c>
      <c r="D676" s="87" t="s">
        <v>1020</v>
      </c>
      <c r="E676" s="126" t="s">
        <v>794</v>
      </c>
      <c r="F676" s="126"/>
      <c r="G676" s="89" t="s">
        <v>32</v>
      </c>
      <c r="H676" s="90">
        <v>1</v>
      </c>
      <c r="I676" s="91">
        <v>33.520000000000003</v>
      </c>
      <c r="J676" s="91">
        <v>33.520000000000003</v>
      </c>
    </row>
    <row r="677" spans="1:10" ht="38.25" x14ac:dyDescent="0.2">
      <c r="A677" s="87" t="s">
        <v>781</v>
      </c>
      <c r="B677" s="88" t="s">
        <v>1021</v>
      </c>
      <c r="C677" s="87" t="s">
        <v>15</v>
      </c>
      <c r="D677" s="87" t="s">
        <v>1022</v>
      </c>
      <c r="E677" s="126" t="s">
        <v>794</v>
      </c>
      <c r="F677" s="126"/>
      <c r="G677" s="89" t="s">
        <v>32</v>
      </c>
      <c r="H677" s="90">
        <v>1</v>
      </c>
      <c r="I677" s="91">
        <v>29.19</v>
      </c>
      <c r="J677" s="91">
        <v>29.19</v>
      </c>
    </row>
    <row r="678" spans="1:10" ht="38.25" x14ac:dyDescent="0.2">
      <c r="A678" s="92"/>
      <c r="B678" s="92"/>
      <c r="C678" s="92"/>
      <c r="D678" s="92"/>
      <c r="E678" s="92" t="s">
        <v>801</v>
      </c>
      <c r="F678" s="93">
        <v>45.65</v>
      </c>
      <c r="G678" s="92" t="s">
        <v>802</v>
      </c>
      <c r="H678" s="93">
        <v>0</v>
      </c>
      <c r="I678" s="92" t="s">
        <v>803</v>
      </c>
      <c r="J678" s="93">
        <v>45.65</v>
      </c>
    </row>
    <row r="679" spans="1:10" ht="38.25" x14ac:dyDescent="0.2">
      <c r="A679" s="92"/>
      <c r="B679" s="92"/>
      <c r="C679" s="92"/>
      <c r="D679" s="92"/>
      <c r="E679" s="92" t="s">
        <v>804</v>
      </c>
      <c r="F679" s="93">
        <v>31.22</v>
      </c>
      <c r="G679" s="92"/>
      <c r="H679" s="127" t="s">
        <v>805</v>
      </c>
      <c r="I679" s="127"/>
      <c r="J679" s="93">
        <v>139.58000000000001</v>
      </c>
    </row>
    <row r="680" spans="1:10" ht="15" thickBot="1" x14ac:dyDescent="0.25">
      <c r="A680" s="77"/>
      <c r="B680" s="77"/>
      <c r="C680" s="77"/>
      <c r="D680" s="77"/>
      <c r="E680" s="77"/>
      <c r="F680" s="77"/>
      <c r="G680" s="77" t="s">
        <v>806</v>
      </c>
      <c r="H680" s="94">
        <v>1</v>
      </c>
      <c r="I680" s="77" t="s">
        <v>807</v>
      </c>
      <c r="J680" s="78">
        <v>139.58000000000001</v>
      </c>
    </row>
    <row r="681" spans="1:10" ht="15" thickTop="1" x14ac:dyDescent="0.2">
      <c r="A681" s="95"/>
      <c r="B681" s="95"/>
      <c r="C681" s="95"/>
      <c r="D681" s="95"/>
      <c r="E681" s="95"/>
      <c r="F681" s="95"/>
      <c r="G681" s="95"/>
      <c r="H681" s="95"/>
      <c r="I681" s="95"/>
      <c r="J681" s="95"/>
    </row>
    <row r="682" spans="1:10" ht="15" x14ac:dyDescent="0.2">
      <c r="A682" s="75" t="s">
        <v>238</v>
      </c>
      <c r="B682" s="17" t="s">
        <v>11</v>
      </c>
      <c r="C682" s="75" t="s">
        <v>12</v>
      </c>
      <c r="D682" s="75" t="s">
        <v>2</v>
      </c>
      <c r="E682" s="124" t="s">
        <v>779</v>
      </c>
      <c r="F682" s="124"/>
      <c r="G682" s="76" t="s">
        <v>3</v>
      </c>
      <c r="H682" s="17" t="s">
        <v>4</v>
      </c>
      <c r="I682" s="17" t="s">
        <v>13</v>
      </c>
      <c r="J682" s="17" t="s">
        <v>17</v>
      </c>
    </row>
    <row r="683" spans="1:10" ht="25.5" x14ac:dyDescent="0.2">
      <c r="A683" s="19" t="s">
        <v>780</v>
      </c>
      <c r="B683" s="20" t="s">
        <v>239</v>
      </c>
      <c r="C683" s="19" t="s">
        <v>240</v>
      </c>
      <c r="D683" s="19" t="s">
        <v>241</v>
      </c>
      <c r="E683" s="125" t="s">
        <v>1023</v>
      </c>
      <c r="F683" s="125"/>
      <c r="G683" s="21" t="s">
        <v>32</v>
      </c>
      <c r="H683" s="86">
        <v>1</v>
      </c>
      <c r="I683" s="82">
        <v>2636.2</v>
      </c>
      <c r="J683" s="82">
        <v>2636.2</v>
      </c>
    </row>
    <row r="684" spans="1:10" ht="25.5" x14ac:dyDescent="0.2">
      <c r="A684" s="87" t="s">
        <v>781</v>
      </c>
      <c r="B684" s="88" t="s">
        <v>1024</v>
      </c>
      <c r="C684" s="87" t="s">
        <v>240</v>
      </c>
      <c r="D684" s="87" t="s">
        <v>1025</v>
      </c>
      <c r="E684" s="126" t="s">
        <v>794</v>
      </c>
      <c r="F684" s="126"/>
      <c r="G684" s="89" t="s">
        <v>32</v>
      </c>
      <c r="H684" s="90">
        <v>1</v>
      </c>
      <c r="I684" s="91">
        <v>1990</v>
      </c>
      <c r="J684" s="91">
        <v>1990</v>
      </c>
    </row>
    <row r="685" spans="1:10" x14ac:dyDescent="0.2">
      <c r="A685" s="87" t="s">
        <v>781</v>
      </c>
      <c r="B685" s="88" t="s">
        <v>1026</v>
      </c>
      <c r="C685" s="87" t="s">
        <v>240</v>
      </c>
      <c r="D685" s="87" t="s">
        <v>1027</v>
      </c>
      <c r="E685" s="126" t="s">
        <v>784</v>
      </c>
      <c r="F685" s="126"/>
      <c r="G685" s="89" t="s">
        <v>785</v>
      </c>
      <c r="H685" s="90">
        <v>14.433999999999999</v>
      </c>
      <c r="I685" s="91">
        <v>24.58</v>
      </c>
      <c r="J685" s="91">
        <v>354.78</v>
      </c>
    </row>
    <row r="686" spans="1:10" x14ac:dyDescent="0.2">
      <c r="A686" s="87" t="s">
        <v>781</v>
      </c>
      <c r="B686" s="88" t="s">
        <v>1028</v>
      </c>
      <c r="C686" s="87" t="s">
        <v>240</v>
      </c>
      <c r="D686" s="87" t="s">
        <v>1029</v>
      </c>
      <c r="E686" s="126" t="s">
        <v>784</v>
      </c>
      <c r="F686" s="126"/>
      <c r="G686" s="89" t="s">
        <v>785</v>
      </c>
      <c r="H686" s="90">
        <v>14.433999999999999</v>
      </c>
      <c r="I686" s="91">
        <v>20.190000000000001</v>
      </c>
      <c r="J686" s="91">
        <v>291.42</v>
      </c>
    </row>
    <row r="687" spans="1:10" ht="38.25" x14ac:dyDescent="0.2">
      <c r="A687" s="92"/>
      <c r="B687" s="92"/>
      <c r="C687" s="92"/>
      <c r="D687" s="92"/>
      <c r="E687" s="92" t="s">
        <v>801</v>
      </c>
      <c r="F687" s="93">
        <v>646.20000000000005</v>
      </c>
      <c r="G687" s="92" t="s">
        <v>802</v>
      </c>
      <c r="H687" s="93">
        <v>0</v>
      </c>
      <c r="I687" s="92" t="s">
        <v>803</v>
      </c>
      <c r="J687" s="93">
        <v>646.20000000000005</v>
      </c>
    </row>
    <row r="688" spans="1:10" ht="38.25" x14ac:dyDescent="0.2">
      <c r="A688" s="92"/>
      <c r="B688" s="92"/>
      <c r="C688" s="92"/>
      <c r="D688" s="92"/>
      <c r="E688" s="92" t="s">
        <v>804</v>
      </c>
      <c r="F688" s="93">
        <v>759.75</v>
      </c>
      <c r="G688" s="92"/>
      <c r="H688" s="127" t="s">
        <v>805</v>
      </c>
      <c r="I688" s="127"/>
      <c r="J688" s="93">
        <v>3395.95</v>
      </c>
    </row>
    <row r="689" spans="1:10" ht="15" thickBot="1" x14ac:dyDescent="0.25">
      <c r="A689" s="77"/>
      <c r="B689" s="77"/>
      <c r="C689" s="77"/>
      <c r="D689" s="77"/>
      <c r="E689" s="77"/>
      <c r="F689" s="77"/>
      <c r="G689" s="77" t="s">
        <v>806</v>
      </c>
      <c r="H689" s="94">
        <v>1</v>
      </c>
      <c r="I689" s="77" t="s">
        <v>807</v>
      </c>
      <c r="J689" s="78">
        <v>3395.95</v>
      </c>
    </row>
    <row r="690" spans="1:10" ht="15" thickTop="1" x14ac:dyDescent="0.2">
      <c r="A690" s="95"/>
      <c r="B690" s="95"/>
      <c r="C690" s="95"/>
      <c r="D690" s="95"/>
      <c r="E690" s="95"/>
      <c r="F690" s="95"/>
      <c r="G690" s="95"/>
      <c r="H690" s="95"/>
      <c r="I690" s="95"/>
      <c r="J690" s="95"/>
    </row>
    <row r="691" spans="1:10" x14ac:dyDescent="0.2">
      <c r="A691" s="18" t="s">
        <v>242</v>
      </c>
      <c r="B691" s="18"/>
      <c r="C691" s="18"/>
      <c r="D691" s="18" t="s">
        <v>243</v>
      </c>
      <c r="E691" s="18"/>
      <c r="F691" s="122"/>
      <c r="G691" s="122"/>
      <c r="H691" s="39"/>
      <c r="I691" s="18"/>
      <c r="J691" s="80">
        <v>6438.58</v>
      </c>
    </row>
    <row r="692" spans="1:10" ht="15" x14ac:dyDescent="0.2">
      <c r="A692" s="75" t="s">
        <v>244</v>
      </c>
      <c r="B692" s="17" t="s">
        <v>11</v>
      </c>
      <c r="C692" s="75" t="s">
        <v>12</v>
      </c>
      <c r="D692" s="75" t="s">
        <v>2</v>
      </c>
      <c r="E692" s="124" t="s">
        <v>779</v>
      </c>
      <c r="F692" s="124"/>
      <c r="G692" s="76" t="s">
        <v>3</v>
      </c>
      <c r="H692" s="17" t="s">
        <v>4</v>
      </c>
      <c r="I692" s="17" t="s">
        <v>13</v>
      </c>
      <c r="J692" s="17" t="s">
        <v>17</v>
      </c>
    </row>
    <row r="693" spans="1:10" ht="25.5" x14ac:dyDescent="0.2">
      <c r="A693" s="19" t="s">
        <v>780</v>
      </c>
      <c r="B693" s="20" t="s">
        <v>245</v>
      </c>
      <c r="C693" s="19" t="s">
        <v>15</v>
      </c>
      <c r="D693" s="19" t="s">
        <v>246</v>
      </c>
      <c r="E693" s="125">
        <v>47.01</v>
      </c>
      <c r="F693" s="125"/>
      <c r="G693" s="21" t="s">
        <v>32</v>
      </c>
      <c r="H693" s="86">
        <v>1</v>
      </c>
      <c r="I693" s="82">
        <v>109.75</v>
      </c>
      <c r="J693" s="82">
        <v>109.75</v>
      </c>
    </row>
    <row r="694" spans="1:10" ht="38.25" x14ac:dyDescent="0.2">
      <c r="A694" s="87" t="s">
        <v>781</v>
      </c>
      <c r="B694" s="88" t="s">
        <v>960</v>
      </c>
      <c r="C694" s="87" t="s">
        <v>15</v>
      </c>
      <c r="D694" s="87" t="s">
        <v>961</v>
      </c>
      <c r="E694" s="126" t="s">
        <v>784</v>
      </c>
      <c r="F694" s="126"/>
      <c r="G694" s="89" t="s">
        <v>785</v>
      </c>
      <c r="H694" s="90">
        <v>0.75</v>
      </c>
      <c r="I694" s="91">
        <v>18.57</v>
      </c>
      <c r="J694" s="91">
        <v>13.92</v>
      </c>
    </row>
    <row r="695" spans="1:10" ht="38.25" x14ac:dyDescent="0.2">
      <c r="A695" s="87" t="s">
        <v>781</v>
      </c>
      <c r="B695" s="88" t="s">
        <v>962</v>
      </c>
      <c r="C695" s="87" t="s">
        <v>15</v>
      </c>
      <c r="D695" s="87" t="s">
        <v>963</v>
      </c>
      <c r="E695" s="126" t="s">
        <v>784</v>
      </c>
      <c r="F695" s="126"/>
      <c r="G695" s="89" t="s">
        <v>785</v>
      </c>
      <c r="H695" s="90">
        <v>0.75</v>
      </c>
      <c r="I695" s="91">
        <v>27.08</v>
      </c>
      <c r="J695" s="91">
        <v>20.309999999999999</v>
      </c>
    </row>
    <row r="696" spans="1:10" ht="38.25" x14ac:dyDescent="0.2">
      <c r="A696" s="87" t="s">
        <v>781</v>
      </c>
      <c r="B696" s="88" t="s">
        <v>1011</v>
      </c>
      <c r="C696" s="87" t="s">
        <v>15</v>
      </c>
      <c r="D696" s="87" t="s">
        <v>1012</v>
      </c>
      <c r="E696" s="126" t="s">
        <v>794</v>
      </c>
      <c r="F696" s="126"/>
      <c r="G696" s="89" t="s">
        <v>78</v>
      </c>
      <c r="H696" s="90">
        <v>0.48</v>
      </c>
      <c r="I696" s="91">
        <v>0.19</v>
      </c>
      <c r="J696" s="91">
        <v>0.09</v>
      </c>
    </row>
    <row r="697" spans="1:10" ht="38.25" x14ac:dyDescent="0.2">
      <c r="A697" s="87" t="s">
        <v>781</v>
      </c>
      <c r="B697" s="88" t="s">
        <v>1030</v>
      </c>
      <c r="C697" s="87" t="s">
        <v>15</v>
      </c>
      <c r="D697" s="87" t="s">
        <v>1031</v>
      </c>
      <c r="E697" s="126" t="s">
        <v>794</v>
      </c>
      <c r="F697" s="126"/>
      <c r="G697" s="89" t="s">
        <v>32</v>
      </c>
      <c r="H697" s="90">
        <v>1</v>
      </c>
      <c r="I697" s="91">
        <v>75.430000000000007</v>
      </c>
      <c r="J697" s="91">
        <v>75.430000000000007</v>
      </c>
    </row>
    <row r="698" spans="1:10" ht="38.25" x14ac:dyDescent="0.2">
      <c r="A698" s="92"/>
      <c r="B698" s="92"/>
      <c r="C698" s="92"/>
      <c r="D698" s="92"/>
      <c r="E698" s="92" t="s">
        <v>801</v>
      </c>
      <c r="F698" s="93">
        <v>34.229999999999997</v>
      </c>
      <c r="G698" s="92" t="s">
        <v>802</v>
      </c>
      <c r="H698" s="93">
        <v>0</v>
      </c>
      <c r="I698" s="92" t="s">
        <v>803</v>
      </c>
      <c r="J698" s="93">
        <v>34.229999999999997</v>
      </c>
    </row>
    <row r="699" spans="1:10" ht="38.25" x14ac:dyDescent="0.2">
      <c r="A699" s="92"/>
      <c r="B699" s="92"/>
      <c r="C699" s="92"/>
      <c r="D699" s="92"/>
      <c r="E699" s="92" t="s">
        <v>804</v>
      </c>
      <c r="F699" s="93">
        <v>31.62</v>
      </c>
      <c r="G699" s="92"/>
      <c r="H699" s="127" t="s">
        <v>805</v>
      </c>
      <c r="I699" s="127"/>
      <c r="J699" s="93">
        <v>141.37</v>
      </c>
    </row>
    <row r="700" spans="1:10" ht="15" thickBot="1" x14ac:dyDescent="0.25">
      <c r="A700" s="77"/>
      <c r="B700" s="77"/>
      <c r="C700" s="77"/>
      <c r="D700" s="77"/>
      <c r="E700" s="77"/>
      <c r="F700" s="77"/>
      <c r="G700" s="77" t="s">
        <v>806</v>
      </c>
      <c r="H700" s="94">
        <v>2</v>
      </c>
      <c r="I700" s="77" t="s">
        <v>807</v>
      </c>
      <c r="J700" s="78">
        <v>282.74</v>
      </c>
    </row>
    <row r="701" spans="1:10" ht="15" thickTop="1" x14ac:dyDescent="0.2">
      <c r="A701" s="95"/>
      <c r="B701" s="95"/>
      <c r="C701" s="95"/>
      <c r="D701" s="95"/>
      <c r="E701" s="95"/>
      <c r="F701" s="95"/>
      <c r="G701" s="95"/>
      <c r="H701" s="95"/>
      <c r="I701" s="95"/>
      <c r="J701" s="95"/>
    </row>
    <row r="702" spans="1:10" ht="15" x14ac:dyDescent="0.2">
      <c r="A702" s="75" t="s">
        <v>247</v>
      </c>
      <c r="B702" s="17" t="s">
        <v>11</v>
      </c>
      <c r="C702" s="75" t="s">
        <v>12</v>
      </c>
      <c r="D702" s="75" t="s">
        <v>2</v>
      </c>
      <c r="E702" s="124" t="s">
        <v>779</v>
      </c>
      <c r="F702" s="124"/>
      <c r="G702" s="76" t="s">
        <v>3</v>
      </c>
      <c r="H702" s="17" t="s">
        <v>4</v>
      </c>
      <c r="I702" s="17" t="s">
        <v>13</v>
      </c>
      <c r="J702" s="17" t="s">
        <v>17</v>
      </c>
    </row>
    <row r="703" spans="1:10" ht="25.5" x14ac:dyDescent="0.2">
      <c r="A703" s="19" t="s">
        <v>780</v>
      </c>
      <c r="B703" s="20" t="s">
        <v>248</v>
      </c>
      <c r="C703" s="19" t="s">
        <v>15</v>
      </c>
      <c r="D703" s="19" t="s">
        <v>249</v>
      </c>
      <c r="E703" s="125">
        <v>46.01</v>
      </c>
      <c r="F703" s="125"/>
      <c r="G703" s="21" t="s">
        <v>78</v>
      </c>
      <c r="H703" s="86">
        <v>1</v>
      </c>
      <c r="I703" s="82">
        <v>29.05</v>
      </c>
      <c r="J703" s="82">
        <v>29.05</v>
      </c>
    </row>
    <row r="704" spans="1:10" ht="38.25" x14ac:dyDescent="0.2">
      <c r="A704" s="87" t="s">
        <v>781</v>
      </c>
      <c r="B704" s="88" t="s">
        <v>960</v>
      </c>
      <c r="C704" s="87" t="s">
        <v>15</v>
      </c>
      <c r="D704" s="87" t="s">
        <v>961</v>
      </c>
      <c r="E704" s="126" t="s">
        <v>784</v>
      </c>
      <c r="F704" s="126"/>
      <c r="G704" s="89" t="s">
        <v>785</v>
      </c>
      <c r="H704" s="90">
        <v>0.5</v>
      </c>
      <c r="I704" s="91">
        <v>18.57</v>
      </c>
      <c r="J704" s="91">
        <v>9.2799999999999994</v>
      </c>
    </row>
    <row r="705" spans="1:10" ht="38.25" x14ac:dyDescent="0.2">
      <c r="A705" s="87" t="s">
        <v>781</v>
      </c>
      <c r="B705" s="88" t="s">
        <v>962</v>
      </c>
      <c r="C705" s="87" t="s">
        <v>15</v>
      </c>
      <c r="D705" s="87" t="s">
        <v>963</v>
      </c>
      <c r="E705" s="126" t="s">
        <v>784</v>
      </c>
      <c r="F705" s="126"/>
      <c r="G705" s="89" t="s">
        <v>785</v>
      </c>
      <c r="H705" s="90">
        <v>0.5</v>
      </c>
      <c r="I705" s="91">
        <v>27.08</v>
      </c>
      <c r="J705" s="91">
        <v>13.54</v>
      </c>
    </row>
    <row r="706" spans="1:10" ht="38.25" x14ac:dyDescent="0.2">
      <c r="A706" s="87" t="s">
        <v>781</v>
      </c>
      <c r="B706" s="88" t="s">
        <v>989</v>
      </c>
      <c r="C706" s="87" t="s">
        <v>15</v>
      </c>
      <c r="D706" s="87" t="s">
        <v>990</v>
      </c>
      <c r="E706" s="126" t="s">
        <v>794</v>
      </c>
      <c r="F706" s="126"/>
      <c r="G706" s="89" t="s">
        <v>134</v>
      </c>
      <c r="H706" s="90">
        <v>3.0000000000000001E-3</v>
      </c>
      <c r="I706" s="91">
        <v>71.55</v>
      </c>
      <c r="J706" s="91">
        <v>0.21</v>
      </c>
    </row>
    <row r="707" spans="1:10" ht="38.25" x14ac:dyDescent="0.2">
      <c r="A707" s="87" t="s">
        <v>781</v>
      </c>
      <c r="B707" s="88" t="s">
        <v>991</v>
      </c>
      <c r="C707" s="87" t="s">
        <v>15</v>
      </c>
      <c r="D707" s="87" t="s">
        <v>992</v>
      </c>
      <c r="E707" s="126" t="s">
        <v>794</v>
      </c>
      <c r="F707" s="126"/>
      <c r="G707" s="89" t="s">
        <v>32</v>
      </c>
      <c r="H707" s="90">
        <v>0.05</v>
      </c>
      <c r="I707" s="91">
        <v>2.04</v>
      </c>
      <c r="J707" s="91">
        <v>0.1</v>
      </c>
    </row>
    <row r="708" spans="1:10" ht="38.25" x14ac:dyDescent="0.2">
      <c r="A708" s="87" t="s">
        <v>781</v>
      </c>
      <c r="B708" s="88" t="s">
        <v>1032</v>
      </c>
      <c r="C708" s="87" t="s">
        <v>15</v>
      </c>
      <c r="D708" s="87" t="s">
        <v>1033</v>
      </c>
      <c r="E708" s="126" t="s">
        <v>794</v>
      </c>
      <c r="F708" s="126"/>
      <c r="G708" s="89" t="s">
        <v>78</v>
      </c>
      <c r="H708" s="90">
        <v>1.5</v>
      </c>
      <c r="I708" s="91">
        <v>3.83</v>
      </c>
      <c r="J708" s="91">
        <v>5.74</v>
      </c>
    </row>
    <row r="709" spans="1:10" ht="38.25" x14ac:dyDescent="0.2">
      <c r="A709" s="87" t="s">
        <v>781</v>
      </c>
      <c r="B709" s="88" t="s">
        <v>993</v>
      </c>
      <c r="C709" s="87" t="s">
        <v>15</v>
      </c>
      <c r="D709" s="87" t="s">
        <v>994</v>
      </c>
      <c r="E709" s="126" t="s">
        <v>794</v>
      </c>
      <c r="F709" s="126"/>
      <c r="G709" s="89" t="s">
        <v>720</v>
      </c>
      <c r="H709" s="90">
        <v>4.0000000000000001E-3</v>
      </c>
      <c r="I709" s="91">
        <v>46.97</v>
      </c>
      <c r="J709" s="91">
        <v>0.18</v>
      </c>
    </row>
    <row r="710" spans="1:10" ht="38.25" x14ac:dyDescent="0.2">
      <c r="A710" s="92"/>
      <c r="B710" s="92"/>
      <c r="C710" s="92"/>
      <c r="D710" s="92"/>
      <c r="E710" s="92" t="s">
        <v>801</v>
      </c>
      <c r="F710" s="93">
        <v>22.82</v>
      </c>
      <c r="G710" s="92" t="s">
        <v>802</v>
      </c>
      <c r="H710" s="93">
        <v>0</v>
      </c>
      <c r="I710" s="92" t="s">
        <v>803</v>
      </c>
      <c r="J710" s="93">
        <v>22.82</v>
      </c>
    </row>
    <row r="711" spans="1:10" ht="38.25" x14ac:dyDescent="0.2">
      <c r="A711" s="92"/>
      <c r="B711" s="92"/>
      <c r="C711" s="92"/>
      <c r="D711" s="92"/>
      <c r="E711" s="92" t="s">
        <v>804</v>
      </c>
      <c r="F711" s="93">
        <v>8.3699999999999992</v>
      </c>
      <c r="G711" s="92"/>
      <c r="H711" s="127" t="s">
        <v>805</v>
      </c>
      <c r="I711" s="127"/>
      <c r="J711" s="93">
        <v>37.42</v>
      </c>
    </row>
    <row r="712" spans="1:10" ht="15" thickBot="1" x14ac:dyDescent="0.25">
      <c r="A712" s="77"/>
      <c r="B712" s="77"/>
      <c r="C712" s="77"/>
      <c r="D712" s="77"/>
      <c r="E712" s="77"/>
      <c r="F712" s="77"/>
      <c r="G712" s="77" t="s">
        <v>806</v>
      </c>
      <c r="H712" s="94">
        <v>30</v>
      </c>
      <c r="I712" s="77" t="s">
        <v>807</v>
      </c>
      <c r="J712" s="78">
        <v>1122.5999999999999</v>
      </c>
    </row>
    <row r="713" spans="1:10" ht="15" thickTop="1" x14ac:dyDescent="0.2">
      <c r="A713" s="95"/>
      <c r="B713" s="95"/>
      <c r="C713" s="95"/>
      <c r="D713" s="95"/>
      <c r="E713" s="95"/>
      <c r="F713" s="95"/>
      <c r="G713" s="95"/>
      <c r="H713" s="95"/>
      <c r="I713" s="95"/>
      <c r="J713" s="95"/>
    </row>
    <row r="714" spans="1:10" ht="15" x14ac:dyDescent="0.2">
      <c r="A714" s="75" t="s">
        <v>250</v>
      </c>
      <c r="B714" s="17" t="s">
        <v>11</v>
      </c>
      <c r="C714" s="75" t="s">
        <v>12</v>
      </c>
      <c r="D714" s="75" t="s">
        <v>2</v>
      </c>
      <c r="E714" s="124" t="s">
        <v>779</v>
      </c>
      <c r="F714" s="124"/>
      <c r="G714" s="76" t="s">
        <v>3</v>
      </c>
      <c r="H714" s="17" t="s">
        <v>4</v>
      </c>
      <c r="I714" s="17" t="s">
        <v>13</v>
      </c>
      <c r="J714" s="17" t="s">
        <v>17</v>
      </c>
    </row>
    <row r="715" spans="1:10" ht="25.5" x14ac:dyDescent="0.2">
      <c r="A715" s="19" t="s">
        <v>780</v>
      </c>
      <c r="B715" s="20" t="s">
        <v>251</v>
      </c>
      <c r="C715" s="19" t="s">
        <v>15</v>
      </c>
      <c r="D715" s="19" t="s">
        <v>252</v>
      </c>
      <c r="E715" s="125">
        <v>46.01</v>
      </c>
      <c r="F715" s="125"/>
      <c r="G715" s="21" t="s">
        <v>78</v>
      </c>
      <c r="H715" s="86">
        <v>1</v>
      </c>
      <c r="I715" s="82">
        <v>48.43</v>
      </c>
      <c r="J715" s="82">
        <v>48.43</v>
      </c>
    </row>
    <row r="716" spans="1:10" ht="38.25" x14ac:dyDescent="0.2">
      <c r="A716" s="87" t="s">
        <v>781</v>
      </c>
      <c r="B716" s="88" t="s">
        <v>960</v>
      </c>
      <c r="C716" s="87" t="s">
        <v>15</v>
      </c>
      <c r="D716" s="87" t="s">
        <v>961</v>
      </c>
      <c r="E716" s="126" t="s">
        <v>784</v>
      </c>
      <c r="F716" s="126"/>
      <c r="G716" s="89" t="s">
        <v>785</v>
      </c>
      <c r="H716" s="90">
        <v>0.6</v>
      </c>
      <c r="I716" s="91">
        <v>18.57</v>
      </c>
      <c r="J716" s="91">
        <v>11.14</v>
      </c>
    </row>
    <row r="717" spans="1:10" ht="38.25" x14ac:dyDescent="0.2">
      <c r="A717" s="87" t="s">
        <v>781</v>
      </c>
      <c r="B717" s="88" t="s">
        <v>962</v>
      </c>
      <c r="C717" s="87" t="s">
        <v>15</v>
      </c>
      <c r="D717" s="87" t="s">
        <v>963</v>
      </c>
      <c r="E717" s="126" t="s">
        <v>784</v>
      </c>
      <c r="F717" s="126"/>
      <c r="G717" s="89" t="s">
        <v>785</v>
      </c>
      <c r="H717" s="90">
        <v>0.6</v>
      </c>
      <c r="I717" s="91">
        <v>27.08</v>
      </c>
      <c r="J717" s="91">
        <v>16.239999999999998</v>
      </c>
    </row>
    <row r="718" spans="1:10" ht="38.25" x14ac:dyDescent="0.2">
      <c r="A718" s="87" t="s">
        <v>781</v>
      </c>
      <c r="B718" s="88" t="s">
        <v>989</v>
      </c>
      <c r="C718" s="87" t="s">
        <v>15</v>
      </c>
      <c r="D718" s="87" t="s">
        <v>990</v>
      </c>
      <c r="E718" s="126" t="s">
        <v>794</v>
      </c>
      <c r="F718" s="126"/>
      <c r="G718" s="89" t="s">
        <v>134</v>
      </c>
      <c r="H718" s="90">
        <v>7.4999999999999997E-3</v>
      </c>
      <c r="I718" s="91">
        <v>71.55</v>
      </c>
      <c r="J718" s="91">
        <v>0.53</v>
      </c>
    </row>
    <row r="719" spans="1:10" ht="38.25" x14ac:dyDescent="0.2">
      <c r="A719" s="87" t="s">
        <v>781</v>
      </c>
      <c r="B719" s="88" t="s">
        <v>991</v>
      </c>
      <c r="C719" s="87" t="s">
        <v>15</v>
      </c>
      <c r="D719" s="87" t="s">
        <v>992</v>
      </c>
      <c r="E719" s="126" t="s">
        <v>794</v>
      </c>
      <c r="F719" s="126"/>
      <c r="G719" s="89" t="s">
        <v>32</v>
      </c>
      <c r="H719" s="90">
        <v>0.08</v>
      </c>
      <c r="I719" s="91">
        <v>2.04</v>
      </c>
      <c r="J719" s="91">
        <v>0.16</v>
      </c>
    </row>
    <row r="720" spans="1:10" ht="38.25" x14ac:dyDescent="0.2">
      <c r="A720" s="87" t="s">
        <v>781</v>
      </c>
      <c r="B720" s="88" t="s">
        <v>993</v>
      </c>
      <c r="C720" s="87" t="s">
        <v>15</v>
      </c>
      <c r="D720" s="87" t="s">
        <v>994</v>
      </c>
      <c r="E720" s="126" t="s">
        <v>794</v>
      </c>
      <c r="F720" s="126"/>
      <c r="G720" s="89" t="s">
        <v>720</v>
      </c>
      <c r="H720" s="90">
        <v>1.0999999999999999E-2</v>
      </c>
      <c r="I720" s="91">
        <v>46.97</v>
      </c>
      <c r="J720" s="91">
        <v>0.51</v>
      </c>
    </row>
    <row r="721" spans="1:10" ht="38.25" x14ac:dyDescent="0.2">
      <c r="A721" s="87" t="s">
        <v>781</v>
      </c>
      <c r="B721" s="88" t="s">
        <v>1034</v>
      </c>
      <c r="C721" s="87" t="s">
        <v>15</v>
      </c>
      <c r="D721" s="87" t="s">
        <v>1035</v>
      </c>
      <c r="E721" s="126" t="s">
        <v>794</v>
      </c>
      <c r="F721" s="126"/>
      <c r="G721" s="89" t="s">
        <v>78</v>
      </c>
      <c r="H721" s="90">
        <v>1.4</v>
      </c>
      <c r="I721" s="91">
        <v>14.18</v>
      </c>
      <c r="J721" s="91">
        <v>19.850000000000001</v>
      </c>
    </row>
    <row r="722" spans="1:10" ht="38.25" x14ac:dyDescent="0.2">
      <c r="A722" s="92"/>
      <c r="B722" s="92"/>
      <c r="C722" s="92"/>
      <c r="D722" s="92"/>
      <c r="E722" s="92" t="s">
        <v>801</v>
      </c>
      <c r="F722" s="93">
        <v>27.38</v>
      </c>
      <c r="G722" s="92" t="s">
        <v>802</v>
      </c>
      <c r="H722" s="93">
        <v>0</v>
      </c>
      <c r="I722" s="92" t="s">
        <v>803</v>
      </c>
      <c r="J722" s="93">
        <v>27.38</v>
      </c>
    </row>
    <row r="723" spans="1:10" ht="38.25" x14ac:dyDescent="0.2">
      <c r="A723" s="92"/>
      <c r="B723" s="92"/>
      <c r="C723" s="92"/>
      <c r="D723" s="92"/>
      <c r="E723" s="92" t="s">
        <v>804</v>
      </c>
      <c r="F723" s="93">
        <v>13.95</v>
      </c>
      <c r="G723" s="92"/>
      <c r="H723" s="127" t="s">
        <v>805</v>
      </c>
      <c r="I723" s="127"/>
      <c r="J723" s="93">
        <v>62.38</v>
      </c>
    </row>
    <row r="724" spans="1:10" ht="15" thickBot="1" x14ac:dyDescent="0.25">
      <c r="A724" s="77"/>
      <c r="B724" s="77"/>
      <c r="C724" s="77"/>
      <c r="D724" s="77"/>
      <c r="E724" s="77"/>
      <c r="F724" s="77"/>
      <c r="G724" s="77" t="s">
        <v>806</v>
      </c>
      <c r="H724" s="94">
        <v>5</v>
      </c>
      <c r="I724" s="77" t="s">
        <v>807</v>
      </c>
      <c r="J724" s="78">
        <v>311.89999999999998</v>
      </c>
    </row>
    <row r="725" spans="1:10" ht="15" thickTop="1" x14ac:dyDescent="0.2">
      <c r="A725" s="95"/>
      <c r="B725" s="95"/>
      <c r="C725" s="95"/>
      <c r="D725" s="95"/>
      <c r="E725" s="95"/>
      <c r="F725" s="95"/>
      <c r="G725" s="95"/>
      <c r="H725" s="95"/>
      <c r="I725" s="95"/>
      <c r="J725" s="95"/>
    </row>
    <row r="726" spans="1:10" ht="15" x14ac:dyDescent="0.2">
      <c r="A726" s="75" t="s">
        <v>253</v>
      </c>
      <c r="B726" s="17" t="s">
        <v>11</v>
      </c>
      <c r="C726" s="75" t="s">
        <v>12</v>
      </c>
      <c r="D726" s="75" t="s">
        <v>2</v>
      </c>
      <c r="E726" s="124" t="s">
        <v>779</v>
      </c>
      <c r="F726" s="124"/>
      <c r="G726" s="76" t="s">
        <v>3</v>
      </c>
      <c r="H726" s="17" t="s">
        <v>4</v>
      </c>
      <c r="I726" s="17" t="s">
        <v>13</v>
      </c>
      <c r="J726" s="17" t="s">
        <v>17</v>
      </c>
    </row>
    <row r="727" spans="1:10" ht="25.5" x14ac:dyDescent="0.2">
      <c r="A727" s="19" t="s">
        <v>780</v>
      </c>
      <c r="B727" s="20" t="s">
        <v>679</v>
      </c>
      <c r="C727" s="19" t="s">
        <v>15</v>
      </c>
      <c r="D727" s="19" t="s">
        <v>680</v>
      </c>
      <c r="E727" s="125">
        <v>48.02</v>
      </c>
      <c r="F727" s="125"/>
      <c r="G727" s="21" t="s">
        <v>32</v>
      </c>
      <c r="H727" s="86">
        <v>1</v>
      </c>
      <c r="I727" s="82">
        <v>618.85</v>
      </c>
      <c r="J727" s="82">
        <v>618.85</v>
      </c>
    </row>
    <row r="728" spans="1:10" ht="38.25" x14ac:dyDescent="0.2">
      <c r="A728" s="87" t="s">
        <v>781</v>
      </c>
      <c r="B728" s="88" t="s">
        <v>962</v>
      </c>
      <c r="C728" s="87" t="s">
        <v>15</v>
      </c>
      <c r="D728" s="87" t="s">
        <v>963</v>
      </c>
      <c r="E728" s="126" t="s">
        <v>784</v>
      </c>
      <c r="F728" s="126"/>
      <c r="G728" s="89" t="s">
        <v>785</v>
      </c>
      <c r="H728" s="90">
        <v>1</v>
      </c>
      <c r="I728" s="91">
        <v>27.08</v>
      </c>
      <c r="J728" s="91">
        <v>27.08</v>
      </c>
    </row>
    <row r="729" spans="1:10" ht="38.25" x14ac:dyDescent="0.2">
      <c r="A729" s="87" t="s">
        <v>781</v>
      </c>
      <c r="B729" s="88" t="s">
        <v>960</v>
      </c>
      <c r="C729" s="87" t="s">
        <v>15</v>
      </c>
      <c r="D729" s="87" t="s">
        <v>961</v>
      </c>
      <c r="E729" s="126" t="s">
        <v>784</v>
      </c>
      <c r="F729" s="126"/>
      <c r="G729" s="89" t="s">
        <v>785</v>
      </c>
      <c r="H729" s="90">
        <v>2</v>
      </c>
      <c r="I729" s="91">
        <v>18.57</v>
      </c>
      <c r="J729" s="91">
        <v>37.14</v>
      </c>
    </row>
    <row r="730" spans="1:10" ht="38.25" x14ac:dyDescent="0.2">
      <c r="A730" s="87" t="s">
        <v>781</v>
      </c>
      <c r="B730" s="88" t="s">
        <v>1036</v>
      </c>
      <c r="C730" s="87" t="s">
        <v>15</v>
      </c>
      <c r="D730" s="87" t="s">
        <v>1037</v>
      </c>
      <c r="E730" s="126" t="s">
        <v>794</v>
      </c>
      <c r="F730" s="126"/>
      <c r="G730" s="89" t="s">
        <v>32</v>
      </c>
      <c r="H730" s="90">
        <v>1</v>
      </c>
      <c r="I730" s="91">
        <v>554.63</v>
      </c>
      <c r="J730" s="91">
        <v>554.63</v>
      </c>
    </row>
    <row r="731" spans="1:10" ht="38.25" x14ac:dyDescent="0.2">
      <c r="A731" s="92"/>
      <c r="B731" s="92"/>
      <c r="C731" s="92"/>
      <c r="D731" s="92"/>
      <c r="E731" s="92" t="s">
        <v>801</v>
      </c>
      <c r="F731" s="93">
        <v>64.22</v>
      </c>
      <c r="G731" s="92" t="s">
        <v>802</v>
      </c>
      <c r="H731" s="93">
        <v>0</v>
      </c>
      <c r="I731" s="92" t="s">
        <v>803</v>
      </c>
      <c r="J731" s="93">
        <v>64.22</v>
      </c>
    </row>
    <row r="732" spans="1:10" ht="38.25" x14ac:dyDescent="0.2">
      <c r="A732" s="92"/>
      <c r="B732" s="92"/>
      <c r="C732" s="92"/>
      <c r="D732" s="92"/>
      <c r="E732" s="92" t="s">
        <v>804</v>
      </c>
      <c r="F732" s="93">
        <v>178.35</v>
      </c>
      <c r="G732" s="92"/>
      <c r="H732" s="127" t="s">
        <v>805</v>
      </c>
      <c r="I732" s="127"/>
      <c r="J732" s="93">
        <v>797.2</v>
      </c>
    </row>
    <row r="733" spans="1:10" ht="15" thickBot="1" x14ac:dyDescent="0.25">
      <c r="A733" s="77"/>
      <c r="B733" s="77"/>
      <c r="C733" s="77"/>
      <c r="D733" s="77"/>
      <c r="E733" s="77"/>
      <c r="F733" s="77"/>
      <c r="G733" s="77" t="s">
        <v>806</v>
      </c>
      <c r="H733" s="94">
        <v>1</v>
      </c>
      <c r="I733" s="77" t="s">
        <v>807</v>
      </c>
      <c r="J733" s="78">
        <v>797.2</v>
      </c>
    </row>
    <row r="734" spans="1:10" ht="15" thickTop="1" x14ac:dyDescent="0.2">
      <c r="A734" s="95"/>
      <c r="B734" s="95"/>
      <c r="C734" s="95"/>
      <c r="D734" s="95"/>
      <c r="E734" s="95"/>
      <c r="F734" s="95"/>
      <c r="G734" s="95"/>
      <c r="H734" s="95"/>
      <c r="I734" s="95"/>
      <c r="J734" s="95"/>
    </row>
    <row r="735" spans="1:10" ht="15" x14ac:dyDescent="0.2">
      <c r="A735" s="75" t="s">
        <v>254</v>
      </c>
      <c r="B735" s="17" t="s">
        <v>11</v>
      </c>
      <c r="C735" s="75" t="s">
        <v>12</v>
      </c>
      <c r="D735" s="75" t="s">
        <v>2</v>
      </c>
      <c r="E735" s="124" t="s">
        <v>779</v>
      </c>
      <c r="F735" s="124"/>
      <c r="G735" s="76" t="s">
        <v>3</v>
      </c>
      <c r="H735" s="17" t="s">
        <v>4</v>
      </c>
      <c r="I735" s="17" t="s">
        <v>13</v>
      </c>
      <c r="J735" s="17" t="s">
        <v>17</v>
      </c>
    </row>
    <row r="736" spans="1:10" ht="25.5" x14ac:dyDescent="0.2">
      <c r="A736" s="19" t="s">
        <v>780</v>
      </c>
      <c r="B736" s="20" t="s">
        <v>255</v>
      </c>
      <c r="C736" s="19" t="s">
        <v>15</v>
      </c>
      <c r="D736" s="19" t="s">
        <v>256</v>
      </c>
      <c r="E736" s="125">
        <v>47.01</v>
      </c>
      <c r="F736" s="125"/>
      <c r="G736" s="21" t="s">
        <v>32</v>
      </c>
      <c r="H736" s="86">
        <v>1</v>
      </c>
      <c r="I736" s="82">
        <v>121.17</v>
      </c>
      <c r="J736" s="82">
        <v>121.17</v>
      </c>
    </row>
    <row r="737" spans="1:10" ht="38.25" x14ac:dyDescent="0.2">
      <c r="A737" s="87" t="s">
        <v>781</v>
      </c>
      <c r="B737" s="88" t="s">
        <v>960</v>
      </c>
      <c r="C737" s="87" t="s">
        <v>15</v>
      </c>
      <c r="D737" s="87" t="s">
        <v>961</v>
      </c>
      <c r="E737" s="126" t="s">
        <v>784</v>
      </c>
      <c r="F737" s="126"/>
      <c r="G737" s="89" t="s">
        <v>785</v>
      </c>
      <c r="H737" s="90">
        <v>0.5</v>
      </c>
      <c r="I737" s="91">
        <v>18.57</v>
      </c>
      <c r="J737" s="91">
        <v>9.2799999999999994</v>
      </c>
    </row>
    <row r="738" spans="1:10" ht="38.25" x14ac:dyDescent="0.2">
      <c r="A738" s="87" t="s">
        <v>781</v>
      </c>
      <c r="B738" s="88" t="s">
        <v>962</v>
      </c>
      <c r="C738" s="87" t="s">
        <v>15</v>
      </c>
      <c r="D738" s="87" t="s">
        <v>963</v>
      </c>
      <c r="E738" s="126" t="s">
        <v>784</v>
      </c>
      <c r="F738" s="126"/>
      <c r="G738" s="89" t="s">
        <v>785</v>
      </c>
      <c r="H738" s="90">
        <v>0.5</v>
      </c>
      <c r="I738" s="91">
        <v>27.08</v>
      </c>
      <c r="J738" s="91">
        <v>13.54</v>
      </c>
    </row>
    <row r="739" spans="1:10" ht="38.25" x14ac:dyDescent="0.2">
      <c r="A739" s="87" t="s">
        <v>781</v>
      </c>
      <c r="B739" s="88" t="s">
        <v>1011</v>
      </c>
      <c r="C739" s="87" t="s">
        <v>15</v>
      </c>
      <c r="D739" s="87" t="s">
        <v>1012</v>
      </c>
      <c r="E739" s="126" t="s">
        <v>794</v>
      </c>
      <c r="F739" s="126"/>
      <c r="G739" s="89" t="s">
        <v>78</v>
      </c>
      <c r="H739" s="90">
        <v>0.7</v>
      </c>
      <c r="I739" s="91">
        <v>0.19</v>
      </c>
      <c r="J739" s="91">
        <v>0.13</v>
      </c>
    </row>
    <row r="740" spans="1:10" ht="38.25" x14ac:dyDescent="0.2">
      <c r="A740" s="87" t="s">
        <v>781</v>
      </c>
      <c r="B740" s="88" t="s">
        <v>1038</v>
      </c>
      <c r="C740" s="87" t="s">
        <v>15</v>
      </c>
      <c r="D740" s="87" t="s">
        <v>1039</v>
      </c>
      <c r="E740" s="126" t="s">
        <v>794</v>
      </c>
      <c r="F740" s="126"/>
      <c r="G740" s="89" t="s">
        <v>32</v>
      </c>
      <c r="H740" s="90">
        <v>1</v>
      </c>
      <c r="I740" s="91">
        <v>98.22</v>
      </c>
      <c r="J740" s="91">
        <v>98.22</v>
      </c>
    </row>
    <row r="741" spans="1:10" ht="38.25" x14ac:dyDescent="0.2">
      <c r="A741" s="92"/>
      <c r="B741" s="92"/>
      <c r="C741" s="92"/>
      <c r="D741" s="92"/>
      <c r="E741" s="92" t="s">
        <v>801</v>
      </c>
      <c r="F741" s="93">
        <v>22.82</v>
      </c>
      <c r="G741" s="92" t="s">
        <v>802</v>
      </c>
      <c r="H741" s="93">
        <v>0</v>
      </c>
      <c r="I741" s="92" t="s">
        <v>803</v>
      </c>
      <c r="J741" s="93">
        <v>22.82</v>
      </c>
    </row>
    <row r="742" spans="1:10" ht="38.25" x14ac:dyDescent="0.2">
      <c r="A742" s="92"/>
      <c r="B742" s="92"/>
      <c r="C742" s="92"/>
      <c r="D742" s="92"/>
      <c r="E742" s="92" t="s">
        <v>804</v>
      </c>
      <c r="F742" s="93">
        <v>34.92</v>
      </c>
      <c r="G742" s="92"/>
      <c r="H742" s="127" t="s">
        <v>805</v>
      </c>
      <c r="I742" s="127"/>
      <c r="J742" s="93">
        <v>156.09</v>
      </c>
    </row>
    <row r="743" spans="1:10" ht="15" thickBot="1" x14ac:dyDescent="0.25">
      <c r="A743" s="77"/>
      <c r="B743" s="77"/>
      <c r="C743" s="77"/>
      <c r="D743" s="77"/>
      <c r="E743" s="77"/>
      <c r="F743" s="77"/>
      <c r="G743" s="77" t="s">
        <v>806</v>
      </c>
      <c r="H743" s="94">
        <v>1</v>
      </c>
      <c r="I743" s="77" t="s">
        <v>807</v>
      </c>
      <c r="J743" s="78">
        <v>156.09</v>
      </c>
    </row>
    <row r="744" spans="1:10" ht="15" thickTop="1" x14ac:dyDescent="0.2">
      <c r="A744" s="95"/>
      <c r="B744" s="95"/>
      <c r="C744" s="95"/>
      <c r="D744" s="95"/>
      <c r="E744" s="95"/>
      <c r="F744" s="95"/>
      <c r="G744" s="95"/>
      <c r="H744" s="95"/>
      <c r="I744" s="95"/>
      <c r="J744" s="95"/>
    </row>
    <row r="745" spans="1:10" ht="15" x14ac:dyDescent="0.2">
      <c r="A745" s="75" t="s">
        <v>257</v>
      </c>
      <c r="B745" s="17" t="s">
        <v>11</v>
      </c>
      <c r="C745" s="75" t="s">
        <v>12</v>
      </c>
      <c r="D745" s="75" t="s">
        <v>2</v>
      </c>
      <c r="E745" s="124" t="s">
        <v>779</v>
      </c>
      <c r="F745" s="124"/>
      <c r="G745" s="76" t="s">
        <v>3</v>
      </c>
      <c r="H745" s="17" t="s">
        <v>4</v>
      </c>
      <c r="I745" s="17" t="s">
        <v>13</v>
      </c>
      <c r="J745" s="17" t="s">
        <v>17</v>
      </c>
    </row>
    <row r="746" spans="1:10" ht="25.5" x14ac:dyDescent="0.2">
      <c r="A746" s="19" t="s">
        <v>780</v>
      </c>
      <c r="B746" s="20" t="s">
        <v>258</v>
      </c>
      <c r="C746" s="19" t="s">
        <v>15</v>
      </c>
      <c r="D746" s="19" t="s">
        <v>259</v>
      </c>
      <c r="E746" s="125">
        <v>46.01</v>
      </c>
      <c r="F746" s="125"/>
      <c r="G746" s="21" t="s">
        <v>78</v>
      </c>
      <c r="H746" s="86">
        <v>1</v>
      </c>
      <c r="I746" s="82">
        <v>37.06</v>
      </c>
      <c r="J746" s="82">
        <v>37.06</v>
      </c>
    </row>
    <row r="747" spans="1:10" ht="38.25" x14ac:dyDescent="0.2">
      <c r="A747" s="87" t="s">
        <v>781</v>
      </c>
      <c r="B747" s="88" t="s">
        <v>960</v>
      </c>
      <c r="C747" s="87" t="s">
        <v>15</v>
      </c>
      <c r="D747" s="87" t="s">
        <v>961</v>
      </c>
      <c r="E747" s="126" t="s">
        <v>784</v>
      </c>
      <c r="F747" s="126"/>
      <c r="G747" s="89" t="s">
        <v>785</v>
      </c>
      <c r="H747" s="90">
        <v>0.5</v>
      </c>
      <c r="I747" s="91">
        <v>18.57</v>
      </c>
      <c r="J747" s="91">
        <v>9.2799999999999994</v>
      </c>
    </row>
    <row r="748" spans="1:10" ht="38.25" x14ac:dyDescent="0.2">
      <c r="A748" s="87" t="s">
        <v>781</v>
      </c>
      <c r="B748" s="88" t="s">
        <v>962</v>
      </c>
      <c r="C748" s="87" t="s">
        <v>15</v>
      </c>
      <c r="D748" s="87" t="s">
        <v>963</v>
      </c>
      <c r="E748" s="126" t="s">
        <v>784</v>
      </c>
      <c r="F748" s="126"/>
      <c r="G748" s="89" t="s">
        <v>785</v>
      </c>
      <c r="H748" s="90">
        <v>0.5</v>
      </c>
      <c r="I748" s="91">
        <v>27.08</v>
      </c>
      <c r="J748" s="91">
        <v>13.54</v>
      </c>
    </row>
    <row r="749" spans="1:10" ht="38.25" x14ac:dyDescent="0.2">
      <c r="A749" s="87" t="s">
        <v>781</v>
      </c>
      <c r="B749" s="88" t="s">
        <v>989</v>
      </c>
      <c r="C749" s="87" t="s">
        <v>15</v>
      </c>
      <c r="D749" s="87" t="s">
        <v>990</v>
      </c>
      <c r="E749" s="126" t="s">
        <v>794</v>
      </c>
      <c r="F749" s="126"/>
      <c r="G749" s="89" t="s">
        <v>134</v>
      </c>
      <c r="H749" s="90">
        <v>4.0000000000000001E-3</v>
      </c>
      <c r="I749" s="91">
        <v>71.55</v>
      </c>
      <c r="J749" s="91">
        <v>0.28000000000000003</v>
      </c>
    </row>
    <row r="750" spans="1:10" ht="38.25" x14ac:dyDescent="0.2">
      <c r="A750" s="87" t="s">
        <v>781</v>
      </c>
      <c r="B750" s="88" t="s">
        <v>991</v>
      </c>
      <c r="C750" s="87" t="s">
        <v>15</v>
      </c>
      <c r="D750" s="87" t="s">
        <v>992</v>
      </c>
      <c r="E750" s="126" t="s">
        <v>794</v>
      </c>
      <c r="F750" s="126"/>
      <c r="G750" s="89" t="s">
        <v>32</v>
      </c>
      <c r="H750" s="90">
        <v>0.06</v>
      </c>
      <c r="I750" s="91">
        <v>2.04</v>
      </c>
      <c r="J750" s="91">
        <v>0.12</v>
      </c>
    </row>
    <row r="751" spans="1:10" ht="38.25" x14ac:dyDescent="0.2">
      <c r="A751" s="87" t="s">
        <v>781</v>
      </c>
      <c r="B751" s="88" t="s">
        <v>1040</v>
      </c>
      <c r="C751" s="87" t="s">
        <v>15</v>
      </c>
      <c r="D751" s="87" t="s">
        <v>1041</v>
      </c>
      <c r="E751" s="126" t="s">
        <v>794</v>
      </c>
      <c r="F751" s="126"/>
      <c r="G751" s="89" t="s">
        <v>78</v>
      </c>
      <c r="H751" s="90">
        <v>1.5</v>
      </c>
      <c r="I751" s="91">
        <v>9.06</v>
      </c>
      <c r="J751" s="91">
        <v>13.59</v>
      </c>
    </row>
    <row r="752" spans="1:10" ht="38.25" x14ac:dyDescent="0.2">
      <c r="A752" s="87" t="s">
        <v>781</v>
      </c>
      <c r="B752" s="88" t="s">
        <v>993</v>
      </c>
      <c r="C752" s="87" t="s">
        <v>15</v>
      </c>
      <c r="D752" s="87" t="s">
        <v>994</v>
      </c>
      <c r="E752" s="126" t="s">
        <v>794</v>
      </c>
      <c r="F752" s="126"/>
      <c r="G752" s="89" t="s">
        <v>720</v>
      </c>
      <c r="H752" s="90">
        <v>5.4999999999999997E-3</v>
      </c>
      <c r="I752" s="91">
        <v>46.97</v>
      </c>
      <c r="J752" s="91">
        <v>0.25</v>
      </c>
    </row>
    <row r="753" spans="1:10" ht="38.25" x14ac:dyDescent="0.2">
      <c r="A753" s="92"/>
      <c r="B753" s="92"/>
      <c r="C753" s="92"/>
      <c r="D753" s="92"/>
      <c r="E753" s="92" t="s">
        <v>801</v>
      </c>
      <c r="F753" s="93">
        <v>22.82</v>
      </c>
      <c r="G753" s="92" t="s">
        <v>802</v>
      </c>
      <c r="H753" s="93">
        <v>0</v>
      </c>
      <c r="I753" s="92" t="s">
        <v>803</v>
      </c>
      <c r="J753" s="93">
        <v>22.82</v>
      </c>
    </row>
    <row r="754" spans="1:10" ht="38.25" x14ac:dyDescent="0.2">
      <c r="A754" s="92"/>
      <c r="B754" s="92"/>
      <c r="C754" s="92"/>
      <c r="D754" s="92"/>
      <c r="E754" s="92" t="s">
        <v>804</v>
      </c>
      <c r="F754" s="93">
        <v>10.68</v>
      </c>
      <c r="G754" s="92"/>
      <c r="H754" s="127" t="s">
        <v>805</v>
      </c>
      <c r="I754" s="127"/>
      <c r="J754" s="93">
        <v>47.74</v>
      </c>
    </row>
    <row r="755" spans="1:10" ht="15" thickBot="1" x14ac:dyDescent="0.25">
      <c r="A755" s="77"/>
      <c r="B755" s="77"/>
      <c r="C755" s="77"/>
      <c r="D755" s="77"/>
      <c r="E755" s="77"/>
      <c r="F755" s="77"/>
      <c r="G755" s="77" t="s">
        <v>806</v>
      </c>
      <c r="H755" s="94">
        <v>65</v>
      </c>
      <c r="I755" s="77" t="s">
        <v>807</v>
      </c>
      <c r="J755" s="78">
        <v>3103.1</v>
      </c>
    </row>
    <row r="756" spans="1:10" ht="15" thickTop="1" x14ac:dyDescent="0.2">
      <c r="A756" s="95"/>
      <c r="B756" s="95"/>
      <c r="C756" s="95"/>
      <c r="D756" s="95"/>
      <c r="E756" s="95"/>
      <c r="F756" s="95"/>
      <c r="G756" s="95"/>
      <c r="H756" s="95"/>
      <c r="I756" s="95"/>
      <c r="J756" s="95"/>
    </row>
    <row r="757" spans="1:10" ht="15" x14ac:dyDescent="0.2">
      <c r="A757" s="75" t="s">
        <v>260</v>
      </c>
      <c r="B757" s="17" t="s">
        <v>11</v>
      </c>
      <c r="C757" s="75" t="s">
        <v>12</v>
      </c>
      <c r="D757" s="75" t="s">
        <v>2</v>
      </c>
      <c r="E757" s="124" t="s">
        <v>779</v>
      </c>
      <c r="F757" s="124"/>
      <c r="G757" s="76" t="s">
        <v>3</v>
      </c>
      <c r="H757" s="17" t="s">
        <v>4</v>
      </c>
      <c r="I757" s="17" t="s">
        <v>13</v>
      </c>
      <c r="J757" s="17" t="s">
        <v>17</v>
      </c>
    </row>
    <row r="758" spans="1:10" ht="25.5" x14ac:dyDescent="0.2">
      <c r="A758" s="19" t="s">
        <v>780</v>
      </c>
      <c r="B758" s="20" t="s">
        <v>261</v>
      </c>
      <c r="C758" s="19" t="s">
        <v>15</v>
      </c>
      <c r="D758" s="19" t="s">
        <v>262</v>
      </c>
      <c r="E758" s="125">
        <v>47.02</v>
      </c>
      <c r="F758" s="125"/>
      <c r="G758" s="21" t="s">
        <v>32</v>
      </c>
      <c r="H758" s="86">
        <v>1</v>
      </c>
      <c r="I758" s="82">
        <v>73.66</v>
      </c>
      <c r="J758" s="82">
        <v>73.66</v>
      </c>
    </row>
    <row r="759" spans="1:10" ht="38.25" x14ac:dyDescent="0.2">
      <c r="A759" s="87" t="s">
        <v>781</v>
      </c>
      <c r="B759" s="88" t="s">
        <v>960</v>
      </c>
      <c r="C759" s="87" t="s">
        <v>15</v>
      </c>
      <c r="D759" s="87" t="s">
        <v>961</v>
      </c>
      <c r="E759" s="126" t="s">
        <v>784</v>
      </c>
      <c r="F759" s="126"/>
      <c r="G759" s="89" t="s">
        <v>785</v>
      </c>
      <c r="H759" s="90">
        <v>0.45</v>
      </c>
      <c r="I759" s="91">
        <v>18.57</v>
      </c>
      <c r="J759" s="91">
        <v>8.35</v>
      </c>
    </row>
    <row r="760" spans="1:10" ht="38.25" x14ac:dyDescent="0.2">
      <c r="A760" s="87" t="s">
        <v>781</v>
      </c>
      <c r="B760" s="88" t="s">
        <v>962</v>
      </c>
      <c r="C760" s="87" t="s">
        <v>15</v>
      </c>
      <c r="D760" s="87" t="s">
        <v>963</v>
      </c>
      <c r="E760" s="126" t="s">
        <v>784</v>
      </c>
      <c r="F760" s="126"/>
      <c r="G760" s="89" t="s">
        <v>785</v>
      </c>
      <c r="H760" s="90">
        <v>0.45</v>
      </c>
      <c r="I760" s="91">
        <v>27.08</v>
      </c>
      <c r="J760" s="91">
        <v>12.18</v>
      </c>
    </row>
    <row r="761" spans="1:10" ht="38.25" x14ac:dyDescent="0.2">
      <c r="A761" s="87" t="s">
        <v>781</v>
      </c>
      <c r="B761" s="88" t="s">
        <v>1011</v>
      </c>
      <c r="C761" s="87" t="s">
        <v>15</v>
      </c>
      <c r="D761" s="87" t="s">
        <v>1012</v>
      </c>
      <c r="E761" s="126" t="s">
        <v>794</v>
      </c>
      <c r="F761" s="126"/>
      <c r="G761" s="89" t="s">
        <v>78</v>
      </c>
      <c r="H761" s="90">
        <v>0.36</v>
      </c>
      <c r="I761" s="91">
        <v>0.19</v>
      </c>
      <c r="J761" s="91">
        <v>0.06</v>
      </c>
    </row>
    <row r="762" spans="1:10" ht="38.25" x14ac:dyDescent="0.2">
      <c r="A762" s="87" t="s">
        <v>781</v>
      </c>
      <c r="B762" s="88" t="s">
        <v>1042</v>
      </c>
      <c r="C762" s="87" t="s">
        <v>15</v>
      </c>
      <c r="D762" s="87" t="s">
        <v>1043</v>
      </c>
      <c r="E762" s="126" t="s">
        <v>794</v>
      </c>
      <c r="F762" s="126"/>
      <c r="G762" s="89" t="s">
        <v>32</v>
      </c>
      <c r="H762" s="90">
        <v>1</v>
      </c>
      <c r="I762" s="91">
        <v>53.07</v>
      </c>
      <c r="J762" s="91">
        <v>53.07</v>
      </c>
    </row>
    <row r="763" spans="1:10" ht="38.25" x14ac:dyDescent="0.2">
      <c r="A763" s="92"/>
      <c r="B763" s="92"/>
      <c r="C763" s="92"/>
      <c r="D763" s="92"/>
      <c r="E763" s="92" t="s">
        <v>801</v>
      </c>
      <c r="F763" s="93">
        <v>20.53</v>
      </c>
      <c r="G763" s="92" t="s">
        <v>802</v>
      </c>
      <c r="H763" s="93">
        <v>0</v>
      </c>
      <c r="I763" s="92" t="s">
        <v>803</v>
      </c>
      <c r="J763" s="93">
        <v>20.53</v>
      </c>
    </row>
    <row r="764" spans="1:10" ht="38.25" x14ac:dyDescent="0.2">
      <c r="A764" s="92"/>
      <c r="B764" s="92"/>
      <c r="C764" s="92"/>
      <c r="D764" s="92"/>
      <c r="E764" s="92" t="s">
        <v>804</v>
      </c>
      <c r="F764" s="93">
        <v>21.22</v>
      </c>
      <c r="G764" s="92"/>
      <c r="H764" s="127" t="s">
        <v>805</v>
      </c>
      <c r="I764" s="127"/>
      <c r="J764" s="93">
        <v>94.88</v>
      </c>
    </row>
    <row r="765" spans="1:10" ht="15" thickBot="1" x14ac:dyDescent="0.25">
      <c r="A765" s="77"/>
      <c r="B765" s="77"/>
      <c r="C765" s="77"/>
      <c r="D765" s="77"/>
      <c r="E765" s="77"/>
      <c r="F765" s="77"/>
      <c r="G765" s="77" t="s">
        <v>806</v>
      </c>
      <c r="H765" s="94">
        <v>2</v>
      </c>
      <c r="I765" s="77" t="s">
        <v>807</v>
      </c>
      <c r="J765" s="78">
        <v>189.76</v>
      </c>
    </row>
    <row r="766" spans="1:10" ht="15" thickTop="1" x14ac:dyDescent="0.2">
      <c r="A766" s="95"/>
      <c r="B766" s="95"/>
      <c r="C766" s="95"/>
      <c r="D766" s="95"/>
      <c r="E766" s="95"/>
      <c r="F766" s="95"/>
      <c r="G766" s="95"/>
      <c r="H766" s="95"/>
      <c r="I766" s="95"/>
      <c r="J766" s="95"/>
    </row>
    <row r="767" spans="1:10" ht="15" x14ac:dyDescent="0.2">
      <c r="A767" s="75" t="s">
        <v>263</v>
      </c>
      <c r="B767" s="17" t="s">
        <v>11</v>
      </c>
      <c r="C767" s="75" t="s">
        <v>12</v>
      </c>
      <c r="D767" s="75" t="s">
        <v>2</v>
      </c>
      <c r="E767" s="124" t="s">
        <v>779</v>
      </c>
      <c r="F767" s="124"/>
      <c r="G767" s="76" t="s">
        <v>3</v>
      </c>
      <c r="H767" s="17" t="s">
        <v>4</v>
      </c>
      <c r="I767" s="17" t="s">
        <v>13</v>
      </c>
      <c r="J767" s="17" t="s">
        <v>17</v>
      </c>
    </row>
    <row r="768" spans="1:10" ht="25.5" x14ac:dyDescent="0.2">
      <c r="A768" s="19" t="s">
        <v>780</v>
      </c>
      <c r="B768" s="20" t="s">
        <v>264</v>
      </c>
      <c r="C768" s="19" t="s">
        <v>15</v>
      </c>
      <c r="D768" s="19" t="s">
        <v>265</v>
      </c>
      <c r="E768" s="125">
        <v>47.04</v>
      </c>
      <c r="F768" s="125"/>
      <c r="G768" s="21" t="s">
        <v>32</v>
      </c>
      <c r="H768" s="86">
        <v>1</v>
      </c>
      <c r="I768" s="82">
        <v>368.88</v>
      </c>
      <c r="J768" s="82">
        <v>368.88</v>
      </c>
    </row>
    <row r="769" spans="1:10" ht="38.25" x14ac:dyDescent="0.2">
      <c r="A769" s="87" t="s">
        <v>781</v>
      </c>
      <c r="B769" s="88" t="s">
        <v>962</v>
      </c>
      <c r="C769" s="87" t="s">
        <v>15</v>
      </c>
      <c r="D769" s="87" t="s">
        <v>963</v>
      </c>
      <c r="E769" s="126" t="s">
        <v>784</v>
      </c>
      <c r="F769" s="126"/>
      <c r="G769" s="89" t="s">
        <v>785</v>
      </c>
      <c r="H769" s="90">
        <v>1.5</v>
      </c>
      <c r="I769" s="91">
        <v>27.08</v>
      </c>
      <c r="J769" s="91">
        <v>40.619999999999997</v>
      </c>
    </row>
    <row r="770" spans="1:10" ht="38.25" x14ac:dyDescent="0.2">
      <c r="A770" s="87" t="s">
        <v>781</v>
      </c>
      <c r="B770" s="88" t="s">
        <v>960</v>
      </c>
      <c r="C770" s="87" t="s">
        <v>15</v>
      </c>
      <c r="D770" s="87" t="s">
        <v>961</v>
      </c>
      <c r="E770" s="126" t="s">
        <v>784</v>
      </c>
      <c r="F770" s="126"/>
      <c r="G770" s="89" t="s">
        <v>785</v>
      </c>
      <c r="H770" s="90">
        <v>1.5</v>
      </c>
      <c r="I770" s="91">
        <v>18.57</v>
      </c>
      <c r="J770" s="91">
        <v>27.85</v>
      </c>
    </row>
    <row r="771" spans="1:10" ht="38.25" x14ac:dyDescent="0.2">
      <c r="A771" s="87" t="s">
        <v>781</v>
      </c>
      <c r="B771" s="88" t="s">
        <v>989</v>
      </c>
      <c r="C771" s="87" t="s">
        <v>15</v>
      </c>
      <c r="D771" s="87" t="s">
        <v>990</v>
      </c>
      <c r="E771" s="126" t="s">
        <v>794</v>
      </c>
      <c r="F771" s="126"/>
      <c r="G771" s="89" t="s">
        <v>134</v>
      </c>
      <c r="H771" s="90">
        <v>7.8E-2</v>
      </c>
      <c r="I771" s="91">
        <v>71.55</v>
      </c>
      <c r="J771" s="91">
        <v>5.58</v>
      </c>
    </row>
    <row r="772" spans="1:10" ht="38.25" x14ac:dyDescent="0.2">
      <c r="A772" s="87" t="s">
        <v>781</v>
      </c>
      <c r="B772" s="88" t="s">
        <v>1034</v>
      </c>
      <c r="C772" s="87" t="s">
        <v>15</v>
      </c>
      <c r="D772" s="87" t="s">
        <v>1035</v>
      </c>
      <c r="E772" s="126" t="s">
        <v>794</v>
      </c>
      <c r="F772" s="126"/>
      <c r="G772" s="89" t="s">
        <v>78</v>
      </c>
      <c r="H772" s="90">
        <v>0.6</v>
      </c>
      <c r="I772" s="91">
        <v>14.18</v>
      </c>
      <c r="J772" s="91">
        <v>8.5</v>
      </c>
    </row>
    <row r="773" spans="1:10" ht="38.25" x14ac:dyDescent="0.2">
      <c r="A773" s="87" t="s">
        <v>781</v>
      </c>
      <c r="B773" s="88" t="s">
        <v>993</v>
      </c>
      <c r="C773" s="87" t="s">
        <v>15</v>
      </c>
      <c r="D773" s="87" t="s">
        <v>994</v>
      </c>
      <c r="E773" s="126" t="s">
        <v>794</v>
      </c>
      <c r="F773" s="126"/>
      <c r="G773" s="89" t="s">
        <v>720</v>
      </c>
      <c r="H773" s="90">
        <v>2.4E-2</v>
      </c>
      <c r="I773" s="91">
        <v>46.97</v>
      </c>
      <c r="J773" s="91">
        <v>1.1200000000000001</v>
      </c>
    </row>
    <row r="774" spans="1:10" ht="38.25" x14ac:dyDescent="0.2">
      <c r="A774" s="87" t="s">
        <v>781</v>
      </c>
      <c r="B774" s="88" t="s">
        <v>1044</v>
      </c>
      <c r="C774" s="87" t="s">
        <v>15</v>
      </c>
      <c r="D774" s="87" t="s">
        <v>1045</v>
      </c>
      <c r="E774" s="126" t="s">
        <v>794</v>
      </c>
      <c r="F774" s="126"/>
      <c r="G774" s="89" t="s">
        <v>32</v>
      </c>
      <c r="H774" s="90">
        <v>1</v>
      </c>
      <c r="I774" s="91">
        <v>285.20999999999998</v>
      </c>
      <c r="J774" s="91">
        <v>285.20999999999998</v>
      </c>
    </row>
    <row r="775" spans="1:10" ht="38.25" x14ac:dyDescent="0.2">
      <c r="A775" s="92"/>
      <c r="B775" s="92"/>
      <c r="C775" s="92"/>
      <c r="D775" s="92"/>
      <c r="E775" s="92" t="s">
        <v>801</v>
      </c>
      <c r="F775" s="93">
        <v>68.47</v>
      </c>
      <c r="G775" s="92" t="s">
        <v>802</v>
      </c>
      <c r="H775" s="93">
        <v>0</v>
      </c>
      <c r="I775" s="92" t="s">
        <v>803</v>
      </c>
      <c r="J775" s="93">
        <v>68.47</v>
      </c>
    </row>
    <row r="776" spans="1:10" ht="38.25" x14ac:dyDescent="0.2">
      <c r="A776" s="92"/>
      <c r="B776" s="92"/>
      <c r="C776" s="92"/>
      <c r="D776" s="92"/>
      <c r="E776" s="92" t="s">
        <v>804</v>
      </c>
      <c r="F776" s="93">
        <v>106.31</v>
      </c>
      <c r="G776" s="92"/>
      <c r="H776" s="127" t="s">
        <v>805</v>
      </c>
      <c r="I776" s="127"/>
      <c r="J776" s="93">
        <v>475.19</v>
      </c>
    </row>
    <row r="777" spans="1:10" ht="15" thickBot="1" x14ac:dyDescent="0.25">
      <c r="A777" s="77"/>
      <c r="B777" s="77"/>
      <c r="C777" s="77"/>
      <c r="D777" s="77"/>
      <c r="E777" s="77"/>
      <c r="F777" s="77"/>
      <c r="G777" s="77" t="s">
        <v>806</v>
      </c>
      <c r="H777" s="94">
        <v>1</v>
      </c>
      <c r="I777" s="77" t="s">
        <v>807</v>
      </c>
      <c r="J777" s="78">
        <v>475.19</v>
      </c>
    </row>
    <row r="778" spans="1:10" ht="15" thickTop="1" x14ac:dyDescent="0.2">
      <c r="A778" s="95"/>
      <c r="B778" s="95"/>
      <c r="C778" s="95"/>
      <c r="D778" s="95"/>
      <c r="E778" s="95"/>
      <c r="F778" s="95"/>
      <c r="G778" s="95"/>
      <c r="H778" s="95"/>
      <c r="I778" s="95"/>
      <c r="J778" s="95"/>
    </row>
    <row r="779" spans="1:10" x14ac:dyDescent="0.2">
      <c r="A779" s="18" t="s">
        <v>266</v>
      </c>
      <c r="B779" s="18"/>
      <c r="C779" s="18"/>
      <c r="D779" s="18" t="s">
        <v>267</v>
      </c>
      <c r="E779" s="18"/>
      <c r="F779" s="122"/>
      <c r="G779" s="122"/>
      <c r="H779" s="39"/>
      <c r="I779" s="18"/>
      <c r="J779" s="80">
        <v>2124.0100000000002</v>
      </c>
    </row>
    <row r="780" spans="1:10" ht="15" x14ac:dyDescent="0.2">
      <c r="A780" s="75" t="s">
        <v>268</v>
      </c>
      <c r="B780" s="17" t="s">
        <v>11</v>
      </c>
      <c r="C780" s="75" t="s">
        <v>12</v>
      </c>
      <c r="D780" s="75" t="s">
        <v>2</v>
      </c>
      <c r="E780" s="124" t="s">
        <v>779</v>
      </c>
      <c r="F780" s="124"/>
      <c r="G780" s="76" t="s">
        <v>3</v>
      </c>
      <c r="H780" s="17" t="s">
        <v>4</v>
      </c>
      <c r="I780" s="17" t="s">
        <v>13</v>
      </c>
      <c r="J780" s="17" t="s">
        <v>17</v>
      </c>
    </row>
    <row r="781" spans="1:10" ht="25.5" x14ac:dyDescent="0.2">
      <c r="A781" s="19" t="s">
        <v>780</v>
      </c>
      <c r="B781" s="20" t="s">
        <v>271</v>
      </c>
      <c r="C781" s="19" t="s">
        <v>15</v>
      </c>
      <c r="D781" s="19" t="s">
        <v>272</v>
      </c>
      <c r="E781" s="125">
        <v>46.03</v>
      </c>
      <c r="F781" s="125"/>
      <c r="G781" s="21" t="s">
        <v>78</v>
      </c>
      <c r="H781" s="86">
        <v>1</v>
      </c>
      <c r="I781" s="82">
        <v>104.43</v>
      </c>
      <c r="J781" s="82">
        <v>104.43</v>
      </c>
    </row>
    <row r="782" spans="1:10" ht="38.25" x14ac:dyDescent="0.2">
      <c r="A782" s="87" t="s">
        <v>781</v>
      </c>
      <c r="B782" s="88" t="s">
        <v>960</v>
      </c>
      <c r="C782" s="87" t="s">
        <v>15</v>
      </c>
      <c r="D782" s="87" t="s">
        <v>961</v>
      </c>
      <c r="E782" s="126" t="s">
        <v>784</v>
      </c>
      <c r="F782" s="126"/>
      <c r="G782" s="89" t="s">
        <v>785</v>
      </c>
      <c r="H782" s="90">
        <v>1.1000000000000001</v>
      </c>
      <c r="I782" s="91">
        <v>18.57</v>
      </c>
      <c r="J782" s="91">
        <v>20.420000000000002</v>
      </c>
    </row>
    <row r="783" spans="1:10" ht="38.25" x14ac:dyDescent="0.2">
      <c r="A783" s="87" t="s">
        <v>781</v>
      </c>
      <c r="B783" s="88" t="s">
        <v>962</v>
      </c>
      <c r="C783" s="87" t="s">
        <v>15</v>
      </c>
      <c r="D783" s="87" t="s">
        <v>963</v>
      </c>
      <c r="E783" s="126" t="s">
        <v>784</v>
      </c>
      <c r="F783" s="126"/>
      <c r="G783" s="89" t="s">
        <v>785</v>
      </c>
      <c r="H783" s="90">
        <v>1.1000000000000001</v>
      </c>
      <c r="I783" s="91">
        <v>27.08</v>
      </c>
      <c r="J783" s="91">
        <v>29.78</v>
      </c>
    </row>
    <row r="784" spans="1:10" ht="38.25" x14ac:dyDescent="0.2">
      <c r="A784" s="87" t="s">
        <v>781</v>
      </c>
      <c r="B784" s="88" t="s">
        <v>1046</v>
      </c>
      <c r="C784" s="87" t="s">
        <v>15</v>
      </c>
      <c r="D784" s="87" t="s">
        <v>1047</v>
      </c>
      <c r="E784" s="126" t="s">
        <v>794</v>
      </c>
      <c r="F784" s="126"/>
      <c r="G784" s="89" t="s">
        <v>78</v>
      </c>
      <c r="H784" s="90">
        <v>1.3</v>
      </c>
      <c r="I784" s="91">
        <v>37.51</v>
      </c>
      <c r="J784" s="91">
        <v>48.76</v>
      </c>
    </row>
    <row r="785" spans="1:10" ht="38.25" x14ac:dyDescent="0.2">
      <c r="A785" s="87" t="s">
        <v>781</v>
      </c>
      <c r="B785" s="88" t="s">
        <v>993</v>
      </c>
      <c r="C785" s="87" t="s">
        <v>15</v>
      </c>
      <c r="D785" s="87" t="s">
        <v>994</v>
      </c>
      <c r="E785" s="126" t="s">
        <v>794</v>
      </c>
      <c r="F785" s="126"/>
      <c r="G785" s="89" t="s">
        <v>720</v>
      </c>
      <c r="H785" s="90">
        <v>4.5999999999999999E-2</v>
      </c>
      <c r="I785" s="91">
        <v>46.97</v>
      </c>
      <c r="J785" s="91">
        <v>2.16</v>
      </c>
    </row>
    <row r="786" spans="1:10" ht="38.25" x14ac:dyDescent="0.2">
      <c r="A786" s="87" t="s">
        <v>781</v>
      </c>
      <c r="B786" s="88" t="s">
        <v>1001</v>
      </c>
      <c r="C786" s="87" t="s">
        <v>15</v>
      </c>
      <c r="D786" s="87" t="s">
        <v>1002</v>
      </c>
      <c r="E786" s="126" t="s">
        <v>794</v>
      </c>
      <c r="F786" s="126"/>
      <c r="G786" s="89" t="s">
        <v>134</v>
      </c>
      <c r="H786" s="90">
        <v>2.3E-2</v>
      </c>
      <c r="I786" s="91">
        <v>19.16</v>
      </c>
      <c r="J786" s="91">
        <v>0.44</v>
      </c>
    </row>
    <row r="787" spans="1:10" ht="38.25" x14ac:dyDescent="0.2">
      <c r="A787" s="87" t="s">
        <v>781</v>
      </c>
      <c r="B787" s="88" t="s">
        <v>1005</v>
      </c>
      <c r="C787" s="87" t="s">
        <v>15</v>
      </c>
      <c r="D787" s="87" t="s">
        <v>1006</v>
      </c>
      <c r="E787" s="126" t="s">
        <v>794</v>
      </c>
      <c r="F787" s="126"/>
      <c r="G787" s="89" t="s">
        <v>32</v>
      </c>
      <c r="H787" s="90">
        <v>1</v>
      </c>
      <c r="I787" s="91">
        <v>2.87</v>
      </c>
      <c r="J787" s="91">
        <v>2.87</v>
      </c>
    </row>
    <row r="788" spans="1:10" ht="38.25" x14ac:dyDescent="0.2">
      <c r="A788" s="92"/>
      <c r="B788" s="92"/>
      <c r="C788" s="92"/>
      <c r="D788" s="92"/>
      <c r="E788" s="92" t="s">
        <v>801</v>
      </c>
      <c r="F788" s="93">
        <v>50.2</v>
      </c>
      <c r="G788" s="92" t="s">
        <v>802</v>
      </c>
      <c r="H788" s="93">
        <v>0</v>
      </c>
      <c r="I788" s="92" t="s">
        <v>803</v>
      </c>
      <c r="J788" s="93">
        <v>50.2</v>
      </c>
    </row>
    <row r="789" spans="1:10" ht="38.25" x14ac:dyDescent="0.2">
      <c r="A789" s="92"/>
      <c r="B789" s="92"/>
      <c r="C789" s="92"/>
      <c r="D789" s="92"/>
      <c r="E789" s="92" t="s">
        <v>804</v>
      </c>
      <c r="F789" s="93">
        <v>30.09</v>
      </c>
      <c r="G789" s="92"/>
      <c r="H789" s="127" t="s">
        <v>805</v>
      </c>
      <c r="I789" s="127"/>
      <c r="J789" s="93">
        <v>134.52000000000001</v>
      </c>
    </row>
    <row r="790" spans="1:10" ht="15" thickBot="1" x14ac:dyDescent="0.25">
      <c r="A790" s="77"/>
      <c r="B790" s="77"/>
      <c r="C790" s="77"/>
      <c r="D790" s="77"/>
      <c r="E790" s="77"/>
      <c r="F790" s="77"/>
      <c r="G790" s="77" t="s">
        <v>806</v>
      </c>
      <c r="H790" s="94">
        <v>6</v>
      </c>
      <c r="I790" s="77" t="s">
        <v>807</v>
      </c>
      <c r="J790" s="78">
        <v>807.12</v>
      </c>
    </row>
    <row r="791" spans="1:10" ht="15" thickTop="1" x14ac:dyDescent="0.2">
      <c r="A791" s="95"/>
      <c r="B791" s="95"/>
      <c r="C791" s="95"/>
      <c r="D791" s="95"/>
      <c r="E791" s="95"/>
      <c r="F791" s="95"/>
      <c r="G791" s="95"/>
      <c r="H791" s="95"/>
      <c r="I791" s="95"/>
      <c r="J791" s="95"/>
    </row>
    <row r="792" spans="1:10" ht="15" x14ac:dyDescent="0.2">
      <c r="A792" s="75" t="s">
        <v>269</v>
      </c>
      <c r="B792" s="17" t="s">
        <v>11</v>
      </c>
      <c r="C792" s="75" t="s">
        <v>12</v>
      </c>
      <c r="D792" s="75" t="s">
        <v>2</v>
      </c>
      <c r="E792" s="124" t="s">
        <v>779</v>
      </c>
      <c r="F792" s="124"/>
      <c r="G792" s="76" t="s">
        <v>3</v>
      </c>
      <c r="H792" s="17" t="s">
        <v>4</v>
      </c>
      <c r="I792" s="17" t="s">
        <v>13</v>
      </c>
      <c r="J792" s="17" t="s">
        <v>17</v>
      </c>
    </row>
    <row r="793" spans="1:10" ht="25.5" x14ac:dyDescent="0.2">
      <c r="A793" s="19" t="s">
        <v>780</v>
      </c>
      <c r="B793" s="20" t="s">
        <v>273</v>
      </c>
      <c r="C793" s="19" t="s">
        <v>31</v>
      </c>
      <c r="D793" s="19" t="s">
        <v>274</v>
      </c>
      <c r="E793" s="125" t="s">
        <v>1048</v>
      </c>
      <c r="F793" s="125"/>
      <c r="G793" s="21" t="s">
        <v>32</v>
      </c>
      <c r="H793" s="86">
        <v>1</v>
      </c>
      <c r="I793" s="82">
        <v>195.3</v>
      </c>
      <c r="J793" s="82">
        <v>195.3</v>
      </c>
    </row>
    <row r="794" spans="1:10" ht="38.25" x14ac:dyDescent="0.2">
      <c r="A794" s="96" t="s">
        <v>880</v>
      </c>
      <c r="B794" s="97" t="s">
        <v>1049</v>
      </c>
      <c r="C794" s="96" t="s">
        <v>31</v>
      </c>
      <c r="D794" s="96" t="s">
        <v>1050</v>
      </c>
      <c r="E794" s="128" t="s">
        <v>1051</v>
      </c>
      <c r="F794" s="128"/>
      <c r="G794" s="98" t="s">
        <v>50</v>
      </c>
      <c r="H794" s="99">
        <v>1.7999999999999999E-2</v>
      </c>
      <c r="I794" s="100">
        <v>237.69</v>
      </c>
      <c r="J794" s="100">
        <v>4.2699999999999996</v>
      </c>
    </row>
    <row r="795" spans="1:10" ht="38.25" x14ac:dyDescent="0.2">
      <c r="A795" s="96" t="s">
        <v>880</v>
      </c>
      <c r="B795" s="97" t="s">
        <v>888</v>
      </c>
      <c r="C795" s="96" t="s">
        <v>31</v>
      </c>
      <c r="D795" s="96" t="s">
        <v>889</v>
      </c>
      <c r="E795" s="128" t="s">
        <v>890</v>
      </c>
      <c r="F795" s="128"/>
      <c r="G795" s="98" t="s">
        <v>785</v>
      </c>
      <c r="H795" s="99">
        <v>2.5899999999999999E-2</v>
      </c>
      <c r="I795" s="100">
        <v>31.42</v>
      </c>
      <c r="J795" s="100">
        <v>0.81</v>
      </c>
    </row>
    <row r="796" spans="1:10" ht="38.25" x14ac:dyDescent="0.2">
      <c r="A796" s="96" t="s">
        <v>880</v>
      </c>
      <c r="B796" s="97" t="s">
        <v>891</v>
      </c>
      <c r="C796" s="96" t="s">
        <v>31</v>
      </c>
      <c r="D796" s="96" t="s">
        <v>892</v>
      </c>
      <c r="E796" s="128" t="s">
        <v>890</v>
      </c>
      <c r="F796" s="128"/>
      <c r="G796" s="98" t="s">
        <v>785</v>
      </c>
      <c r="H796" s="99">
        <v>2.0400000000000001E-2</v>
      </c>
      <c r="I796" s="100">
        <v>27.55</v>
      </c>
      <c r="J796" s="100">
        <v>0.56000000000000005</v>
      </c>
    </row>
    <row r="797" spans="1:10" ht="25.5" x14ac:dyDescent="0.2">
      <c r="A797" s="87" t="s">
        <v>781</v>
      </c>
      <c r="B797" s="88" t="s">
        <v>1052</v>
      </c>
      <c r="C797" s="87" t="s">
        <v>31</v>
      </c>
      <c r="D797" s="87" t="s">
        <v>1053</v>
      </c>
      <c r="E797" s="126" t="s">
        <v>794</v>
      </c>
      <c r="F797" s="126"/>
      <c r="G797" s="89" t="s">
        <v>32</v>
      </c>
      <c r="H797" s="90">
        <v>1</v>
      </c>
      <c r="I797" s="91">
        <v>189.66</v>
      </c>
      <c r="J797" s="91">
        <v>189.66</v>
      </c>
    </row>
    <row r="798" spans="1:10" ht="38.25" x14ac:dyDescent="0.2">
      <c r="A798" s="92"/>
      <c r="B798" s="92"/>
      <c r="C798" s="92"/>
      <c r="D798" s="92"/>
      <c r="E798" s="92" t="s">
        <v>801</v>
      </c>
      <c r="F798" s="93">
        <v>2.85</v>
      </c>
      <c r="G798" s="92" t="s">
        <v>802</v>
      </c>
      <c r="H798" s="93">
        <v>0</v>
      </c>
      <c r="I798" s="92" t="s">
        <v>803</v>
      </c>
      <c r="J798" s="93">
        <v>2.85</v>
      </c>
    </row>
    <row r="799" spans="1:10" ht="38.25" x14ac:dyDescent="0.2">
      <c r="A799" s="92"/>
      <c r="B799" s="92"/>
      <c r="C799" s="92"/>
      <c r="D799" s="92"/>
      <c r="E799" s="92" t="s">
        <v>804</v>
      </c>
      <c r="F799" s="93">
        <v>56.28</v>
      </c>
      <c r="G799" s="92"/>
      <c r="H799" s="127" t="s">
        <v>805</v>
      </c>
      <c r="I799" s="127"/>
      <c r="J799" s="93">
        <v>251.58</v>
      </c>
    </row>
    <row r="800" spans="1:10" ht="15" thickBot="1" x14ac:dyDescent="0.25">
      <c r="A800" s="77"/>
      <c r="B800" s="77"/>
      <c r="C800" s="77"/>
      <c r="D800" s="77"/>
      <c r="E800" s="77"/>
      <c r="F800" s="77"/>
      <c r="G800" s="77" t="s">
        <v>806</v>
      </c>
      <c r="H800" s="94">
        <v>2</v>
      </c>
      <c r="I800" s="77" t="s">
        <v>807</v>
      </c>
      <c r="J800" s="78">
        <v>503.16</v>
      </c>
    </row>
    <row r="801" spans="1:10" ht="15" thickTop="1" x14ac:dyDescent="0.2">
      <c r="A801" s="95"/>
      <c r="B801" s="95"/>
      <c r="C801" s="95"/>
      <c r="D801" s="95"/>
      <c r="E801" s="95"/>
      <c r="F801" s="95"/>
      <c r="G801" s="95"/>
      <c r="H801" s="95"/>
      <c r="I801" s="95"/>
      <c r="J801" s="95"/>
    </row>
    <row r="802" spans="1:10" x14ac:dyDescent="0.2">
      <c r="A802" s="18" t="s">
        <v>270</v>
      </c>
      <c r="B802" s="18"/>
      <c r="C802" s="18"/>
      <c r="D802" s="18" t="s">
        <v>608</v>
      </c>
      <c r="E802" s="18"/>
      <c r="F802" s="122"/>
      <c r="G802" s="122"/>
      <c r="H802" s="39"/>
      <c r="I802" s="18"/>
      <c r="J802" s="80">
        <v>813.73</v>
      </c>
    </row>
    <row r="803" spans="1:10" ht="15" x14ac:dyDescent="0.2">
      <c r="A803" s="75" t="s">
        <v>666</v>
      </c>
      <c r="B803" s="17" t="s">
        <v>11</v>
      </c>
      <c r="C803" s="75" t="s">
        <v>12</v>
      </c>
      <c r="D803" s="75" t="s">
        <v>2</v>
      </c>
      <c r="E803" s="124" t="s">
        <v>779</v>
      </c>
      <c r="F803" s="124"/>
      <c r="G803" s="76" t="s">
        <v>3</v>
      </c>
      <c r="H803" s="17" t="s">
        <v>4</v>
      </c>
      <c r="I803" s="17" t="s">
        <v>13</v>
      </c>
      <c r="J803" s="17" t="s">
        <v>17</v>
      </c>
    </row>
    <row r="804" spans="1:10" ht="25.5" x14ac:dyDescent="0.2">
      <c r="A804" s="19" t="s">
        <v>780</v>
      </c>
      <c r="B804" s="20" t="s">
        <v>609</v>
      </c>
      <c r="C804" s="19" t="s">
        <v>31</v>
      </c>
      <c r="D804" s="19" t="s">
        <v>610</v>
      </c>
      <c r="E804" s="125" t="s">
        <v>879</v>
      </c>
      <c r="F804" s="125"/>
      <c r="G804" s="21" t="s">
        <v>50</v>
      </c>
      <c r="H804" s="86">
        <v>1</v>
      </c>
      <c r="I804" s="82">
        <v>115.41</v>
      </c>
      <c r="J804" s="82">
        <v>115.41</v>
      </c>
    </row>
    <row r="805" spans="1:10" ht="38.25" x14ac:dyDescent="0.2">
      <c r="A805" s="96" t="s">
        <v>880</v>
      </c>
      <c r="B805" s="97" t="s">
        <v>891</v>
      </c>
      <c r="C805" s="96" t="s">
        <v>31</v>
      </c>
      <c r="D805" s="96" t="s">
        <v>892</v>
      </c>
      <c r="E805" s="128" t="s">
        <v>890</v>
      </c>
      <c r="F805" s="128"/>
      <c r="G805" s="98" t="s">
        <v>785</v>
      </c>
      <c r="H805" s="99">
        <v>2</v>
      </c>
      <c r="I805" s="100">
        <v>27.55</v>
      </c>
      <c r="J805" s="100">
        <v>55.1</v>
      </c>
    </row>
    <row r="806" spans="1:10" x14ac:dyDescent="0.2">
      <c r="A806" s="87" t="s">
        <v>781</v>
      </c>
      <c r="B806" s="88" t="s">
        <v>1054</v>
      </c>
      <c r="C806" s="87" t="s">
        <v>31</v>
      </c>
      <c r="D806" s="87" t="s">
        <v>1055</v>
      </c>
      <c r="E806" s="126" t="s">
        <v>794</v>
      </c>
      <c r="F806" s="126"/>
      <c r="G806" s="89" t="s">
        <v>1056</v>
      </c>
      <c r="H806" s="90">
        <v>1.05</v>
      </c>
      <c r="I806" s="91">
        <v>57.44</v>
      </c>
      <c r="J806" s="91">
        <v>60.31</v>
      </c>
    </row>
    <row r="807" spans="1:10" ht="38.25" x14ac:dyDescent="0.2">
      <c r="A807" s="92"/>
      <c r="B807" s="92"/>
      <c r="C807" s="92"/>
      <c r="D807" s="92"/>
      <c r="E807" s="92" t="s">
        <v>801</v>
      </c>
      <c r="F807" s="93">
        <v>37.4</v>
      </c>
      <c r="G807" s="92" t="s">
        <v>802</v>
      </c>
      <c r="H807" s="93">
        <v>0</v>
      </c>
      <c r="I807" s="92" t="s">
        <v>803</v>
      </c>
      <c r="J807" s="93">
        <v>37.4</v>
      </c>
    </row>
    <row r="808" spans="1:10" ht="38.25" x14ac:dyDescent="0.2">
      <c r="A808" s="92"/>
      <c r="B808" s="92"/>
      <c r="C808" s="92"/>
      <c r="D808" s="92"/>
      <c r="E808" s="92" t="s">
        <v>804</v>
      </c>
      <c r="F808" s="93">
        <v>33.26</v>
      </c>
      <c r="G808" s="92"/>
      <c r="H808" s="127" t="s">
        <v>805</v>
      </c>
      <c r="I808" s="127"/>
      <c r="J808" s="93">
        <v>148.66999999999999</v>
      </c>
    </row>
    <row r="809" spans="1:10" ht="15" thickBot="1" x14ac:dyDescent="0.25">
      <c r="A809" s="77"/>
      <c r="B809" s="77"/>
      <c r="C809" s="77"/>
      <c r="D809" s="77"/>
      <c r="E809" s="77"/>
      <c r="F809" s="77"/>
      <c r="G809" s="77" t="s">
        <v>806</v>
      </c>
      <c r="H809" s="94">
        <v>0.19</v>
      </c>
      <c r="I809" s="77" t="s">
        <v>807</v>
      </c>
      <c r="J809" s="78">
        <v>28.24</v>
      </c>
    </row>
    <row r="810" spans="1:10" ht="15" thickTop="1" x14ac:dyDescent="0.2">
      <c r="A810" s="95"/>
      <c r="B810" s="95"/>
      <c r="C810" s="95"/>
      <c r="D810" s="95"/>
      <c r="E810" s="95"/>
      <c r="F810" s="95"/>
      <c r="G810" s="95"/>
      <c r="H810" s="95"/>
      <c r="I810" s="95"/>
      <c r="J810" s="95"/>
    </row>
    <row r="811" spans="1:10" ht="15" x14ac:dyDescent="0.2">
      <c r="A811" s="75" t="s">
        <v>667</v>
      </c>
      <c r="B811" s="17" t="s">
        <v>11</v>
      </c>
      <c r="C811" s="75" t="s">
        <v>12</v>
      </c>
      <c r="D811" s="75" t="s">
        <v>2</v>
      </c>
      <c r="E811" s="124" t="s">
        <v>779</v>
      </c>
      <c r="F811" s="124"/>
      <c r="G811" s="76" t="s">
        <v>3</v>
      </c>
      <c r="H811" s="17" t="s">
        <v>4</v>
      </c>
      <c r="I811" s="17" t="s">
        <v>13</v>
      </c>
      <c r="J811" s="17" t="s">
        <v>17</v>
      </c>
    </row>
    <row r="812" spans="1:10" ht="38.25" x14ac:dyDescent="0.2">
      <c r="A812" s="19" t="s">
        <v>780</v>
      </c>
      <c r="B812" s="20" t="s">
        <v>611</v>
      </c>
      <c r="C812" s="19" t="s">
        <v>31</v>
      </c>
      <c r="D812" s="19" t="s">
        <v>681</v>
      </c>
      <c r="E812" s="125" t="s">
        <v>1057</v>
      </c>
      <c r="F812" s="125"/>
      <c r="G812" s="21" t="s">
        <v>5</v>
      </c>
      <c r="H812" s="86">
        <v>1</v>
      </c>
      <c r="I812" s="82">
        <v>94.7</v>
      </c>
      <c r="J812" s="82">
        <v>94.7</v>
      </c>
    </row>
    <row r="813" spans="1:10" ht="38.25" x14ac:dyDescent="0.2">
      <c r="A813" s="96" t="s">
        <v>880</v>
      </c>
      <c r="B813" s="97" t="s">
        <v>1058</v>
      </c>
      <c r="C813" s="96" t="s">
        <v>31</v>
      </c>
      <c r="D813" s="96" t="s">
        <v>1059</v>
      </c>
      <c r="E813" s="128" t="s">
        <v>890</v>
      </c>
      <c r="F813" s="128"/>
      <c r="G813" s="98" t="s">
        <v>785</v>
      </c>
      <c r="H813" s="99">
        <v>0.503</v>
      </c>
      <c r="I813" s="100">
        <v>29.42</v>
      </c>
      <c r="J813" s="100">
        <v>14.79</v>
      </c>
    </row>
    <row r="814" spans="1:10" ht="38.25" x14ac:dyDescent="0.2">
      <c r="A814" s="96" t="s">
        <v>880</v>
      </c>
      <c r="B814" s="97" t="s">
        <v>1060</v>
      </c>
      <c r="C814" s="96" t="s">
        <v>31</v>
      </c>
      <c r="D814" s="96" t="s">
        <v>1061</v>
      </c>
      <c r="E814" s="128" t="s">
        <v>890</v>
      </c>
      <c r="F814" s="128"/>
      <c r="G814" s="98" t="s">
        <v>785</v>
      </c>
      <c r="H814" s="99">
        <v>1.179</v>
      </c>
      <c r="I814" s="100">
        <v>30.99</v>
      </c>
      <c r="J814" s="100">
        <v>36.53</v>
      </c>
    </row>
    <row r="815" spans="1:10" ht="38.25" x14ac:dyDescent="0.2">
      <c r="A815" s="96" t="s">
        <v>880</v>
      </c>
      <c r="B815" s="97" t="s">
        <v>1062</v>
      </c>
      <c r="C815" s="96" t="s">
        <v>31</v>
      </c>
      <c r="D815" s="96" t="s">
        <v>1063</v>
      </c>
      <c r="E815" s="128" t="s">
        <v>883</v>
      </c>
      <c r="F815" s="128"/>
      <c r="G815" s="98" t="s">
        <v>887</v>
      </c>
      <c r="H815" s="99">
        <v>2.5999999999999999E-2</v>
      </c>
      <c r="I815" s="100">
        <v>31.22</v>
      </c>
      <c r="J815" s="100">
        <v>0.81</v>
      </c>
    </row>
    <row r="816" spans="1:10" ht="38.25" x14ac:dyDescent="0.2">
      <c r="A816" s="96" t="s">
        <v>880</v>
      </c>
      <c r="B816" s="97" t="s">
        <v>1064</v>
      </c>
      <c r="C816" s="96" t="s">
        <v>31</v>
      </c>
      <c r="D816" s="96" t="s">
        <v>1065</v>
      </c>
      <c r="E816" s="128" t="s">
        <v>883</v>
      </c>
      <c r="F816" s="128"/>
      <c r="G816" s="98" t="s">
        <v>884</v>
      </c>
      <c r="H816" s="99">
        <v>0.10299999999999999</v>
      </c>
      <c r="I816" s="100">
        <v>30.1</v>
      </c>
      <c r="J816" s="100">
        <v>3.1</v>
      </c>
    </row>
    <row r="817" spans="1:10" ht="25.5" x14ac:dyDescent="0.2">
      <c r="A817" s="87" t="s">
        <v>781</v>
      </c>
      <c r="B817" s="88" t="s">
        <v>1066</v>
      </c>
      <c r="C817" s="87" t="s">
        <v>31</v>
      </c>
      <c r="D817" s="87" t="s">
        <v>1067</v>
      </c>
      <c r="E817" s="126" t="s">
        <v>794</v>
      </c>
      <c r="F817" s="126"/>
      <c r="G817" s="89" t="s">
        <v>720</v>
      </c>
      <c r="H817" s="90">
        <v>1.67E-2</v>
      </c>
      <c r="I817" s="91">
        <v>6.64</v>
      </c>
      <c r="J817" s="91">
        <v>0.11</v>
      </c>
    </row>
    <row r="818" spans="1:10" ht="25.5" x14ac:dyDescent="0.2">
      <c r="A818" s="87" t="s">
        <v>781</v>
      </c>
      <c r="B818" s="88" t="s">
        <v>1068</v>
      </c>
      <c r="C818" s="87" t="s">
        <v>31</v>
      </c>
      <c r="D818" s="87" t="s">
        <v>1069</v>
      </c>
      <c r="E818" s="126" t="s">
        <v>794</v>
      </c>
      <c r="F818" s="126"/>
      <c r="G818" s="89" t="s">
        <v>78</v>
      </c>
      <c r="H818" s="90">
        <v>1.1659999999999999</v>
      </c>
      <c r="I818" s="91">
        <v>7.36</v>
      </c>
      <c r="J818" s="91">
        <v>8.58</v>
      </c>
    </row>
    <row r="819" spans="1:10" ht="25.5" x14ac:dyDescent="0.2">
      <c r="A819" s="87" t="s">
        <v>781</v>
      </c>
      <c r="B819" s="88" t="s">
        <v>1070</v>
      </c>
      <c r="C819" s="87" t="s">
        <v>31</v>
      </c>
      <c r="D819" s="87" t="s">
        <v>1071</v>
      </c>
      <c r="E819" s="126" t="s">
        <v>794</v>
      </c>
      <c r="F819" s="126"/>
      <c r="G819" s="89" t="s">
        <v>78</v>
      </c>
      <c r="H819" s="90">
        <v>1.0529999999999999</v>
      </c>
      <c r="I819" s="91">
        <v>2.57</v>
      </c>
      <c r="J819" s="91">
        <v>2.7</v>
      </c>
    </row>
    <row r="820" spans="1:10" x14ac:dyDescent="0.2">
      <c r="A820" s="87" t="s">
        <v>781</v>
      </c>
      <c r="B820" s="88" t="s">
        <v>1072</v>
      </c>
      <c r="C820" s="87" t="s">
        <v>31</v>
      </c>
      <c r="D820" s="87" t="s">
        <v>1073</v>
      </c>
      <c r="E820" s="126" t="s">
        <v>794</v>
      </c>
      <c r="F820" s="126"/>
      <c r="G820" s="89" t="s">
        <v>134</v>
      </c>
      <c r="H820" s="90">
        <v>4.9000000000000002E-2</v>
      </c>
      <c r="I820" s="91">
        <v>12.44</v>
      </c>
      <c r="J820" s="91">
        <v>0.6</v>
      </c>
    </row>
    <row r="821" spans="1:10" ht="25.5" x14ac:dyDescent="0.2">
      <c r="A821" s="87" t="s">
        <v>781</v>
      </c>
      <c r="B821" s="88" t="s">
        <v>1074</v>
      </c>
      <c r="C821" s="87" t="s">
        <v>31</v>
      </c>
      <c r="D821" s="87" t="s">
        <v>1075</v>
      </c>
      <c r="E821" s="126" t="s">
        <v>794</v>
      </c>
      <c r="F821" s="126"/>
      <c r="G821" s="89" t="s">
        <v>78</v>
      </c>
      <c r="H821" s="90">
        <v>2.1859999999999999</v>
      </c>
      <c r="I821" s="91">
        <v>12.21</v>
      </c>
      <c r="J821" s="91">
        <v>26.69</v>
      </c>
    </row>
    <row r="822" spans="1:10" x14ac:dyDescent="0.2">
      <c r="A822" s="87" t="s">
        <v>781</v>
      </c>
      <c r="B822" s="88" t="s">
        <v>1076</v>
      </c>
      <c r="C822" s="87" t="s">
        <v>31</v>
      </c>
      <c r="D822" s="87" t="s">
        <v>1077</v>
      </c>
      <c r="E822" s="126" t="s">
        <v>794</v>
      </c>
      <c r="F822" s="126"/>
      <c r="G822" s="89" t="s">
        <v>134</v>
      </c>
      <c r="H822" s="90">
        <v>5.2999999999999999E-2</v>
      </c>
      <c r="I822" s="91">
        <v>15.06</v>
      </c>
      <c r="J822" s="91">
        <v>0.79</v>
      </c>
    </row>
    <row r="823" spans="1:10" ht="38.25" x14ac:dyDescent="0.2">
      <c r="A823" s="92"/>
      <c r="B823" s="92"/>
      <c r="C823" s="92"/>
      <c r="D823" s="92"/>
      <c r="E823" s="92" t="s">
        <v>801</v>
      </c>
      <c r="F823" s="93">
        <v>39.520000000000003</v>
      </c>
      <c r="G823" s="92" t="s">
        <v>802</v>
      </c>
      <c r="H823" s="93">
        <v>0</v>
      </c>
      <c r="I823" s="92" t="s">
        <v>803</v>
      </c>
      <c r="J823" s="93">
        <v>39.520000000000003</v>
      </c>
    </row>
    <row r="824" spans="1:10" ht="38.25" x14ac:dyDescent="0.2">
      <c r="A824" s="92"/>
      <c r="B824" s="92"/>
      <c r="C824" s="92"/>
      <c r="D824" s="92"/>
      <c r="E824" s="92" t="s">
        <v>804</v>
      </c>
      <c r="F824" s="93">
        <v>27.29</v>
      </c>
      <c r="G824" s="92"/>
      <c r="H824" s="127" t="s">
        <v>805</v>
      </c>
      <c r="I824" s="127"/>
      <c r="J824" s="93">
        <v>121.99</v>
      </c>
    </row>
    <row r="825" spans="1:10" ht="15" thickBot="1" x14ac:dyDescent="0.25">
      <c r="A825" s="77"/>
      <c r="B825" s="77"/>
      <c r="C825" s="77"/>
      <c r="D825" s="77"/>
      <c r="E825" s="77"/>
      <c r="F825" s="77"/>
      <c r="G825" s="77" t="s">
        <v>806</v>
      </c>
      <c r="H825" s="94">
        <v>1.1000000000000001</v>
      </c>
      <c r="I825" s="77" t="s">
        <v>807</v>
      </c>
      <c r="J825" s="78">
        <v>134.18</v>
      </c>
    </row>
    <row r="826" spans="1:10" ht="15" thickTop="1" x14ac:dyDescent="0.2">
      <c r="A826" s="95"/>
      <c r="B826" s="95"/>
      <c r="C826" s="95"/>
      <c r="D826" s="95"/>
      <c r="E826" s="95"/>
      <c r="F826" s="95"/>
      <c r="G826" s="95"/>
      <c r="H826" s="95"/>
      <c r="I826" s="95"/>
      <c r="J826" s="95"/>
    </row>
    <row r="827" spans="1:10" ht="15" x14ac:dyDescent="0.2">
      <c r="A827" s="75" t="s">
        <v>668</v>
      </c>
      <c r="B827" s="17" t="s">
        <v>11</v>
      </c>
      <c r="C827" s="75" t="s">
        <v>12</v>
      </c>
      <c r="D827" s="75" t="s">
        <v>2</v>
      </c>
      <c r="E827" s="124" t="s">
        <v>779</v>
      </c>
      <c r="F827" s="124"/>
      <c r="G827" s="76" t="s">
        <v>3</v>
      </c>
      <c r="H827" s="17" t="s">
        <v>4</v>
      </c>
      <c r="I827" s="17" t="s">
        <v>13</v>
      </c>
      <c r="J827" s="17" t="s">
        <v>17</v>
      </c>
    </row>
    <row r="828" spans="1:10" ht="25.5" x14ac:dyDescent="0.2">
      <c r="A828" s="19" t="s">
        <v>780</v>
      </c>
      <c r="B828" s="20" t="s">
        <v>132</v>
      </c>
      <c r="C828" s="19" t="s">
        <v>15</v>
      </c>
      <c r="D828" s="19" t="s">
        <v>133</v>
      </c>
      <c r="E828" s="125">
        <v>10.01</v>
      </c>
      <c r="F828" s="125"/>
      <c r="G828" s="21" t="s">
        <v>134</v>
      </c>
      <c r="H828" s="86">
        <v>1</v>
      </c>
      <c r="I828" s="82">
        <v>10.38</v>
      </c>
      <c r="J828" s="82">
        <v>10.38</v>
      </c>
    </row>
    <row r="829" spans="1:10" ht="38.25" x14ac:dyDescent="0.2">
      <c r="A829" s="87" t="s">
        <v>781</v>
      </c>
      <c r="B829" s="88" t="s">
        <v>865</v>
      </c>
      <c r="C829" s="87" t="s">
        <v>15</v>
      </c>
      <c r="D829" s="87" t="s">
        <v>866</v>
      </c>
      <c r="E829" s="126" t="s">
        <v>784</v>
      </c>
      <c r="F829" s="126"/>
      <c r="G829" s="89" t="s">
        <v>785</v>
      </c>
      <c r="H829" s="90">
        <v>0.08</v>
      </c>
      <c r="I829" s="91">
        <v>18.57</v>
      </c>
      <c r="J829" s="91">
        <v>1.48</v>
      </c>
    </row>
    <row r="830" spans="1:10" ht="38.25" x14ac:dyDescent="0.2">
      <c r="A830" s="87" t="s">
        <v>781</v>
      </c>
      <c r="B830" s="88" t="s">
        <v>867</v>
      </c>
      <c r="C830" s="87" t="s">
        <v>15</v>
      </c>
      <c r="D830" s="87" t="s">
        <v>868</v>
      </c>
      <c r="E830" s="126" t="s">
        <v>784</v>
      </c>
      <c r="F830" s="126"/>
      <c r="G830" s="89" t="s">
        <v>785</v>
      </c>
      <c r="H830" s="90">
        <v>0.04</v>
      </c>
      <c r="I830" s="91">
        <v>22.61</v>
      </c>
      <c r="J830" s="91">
        <v>0.9</v>
      </c>
    </row>
    <row r="831" spans="1:10" ht="38.25" x14ac:dyDescent="0.2">
      <c r="A831" s="87" t="s">
        <v>781</v>
      </c>
      <c r="B831" s="88" t="s">
        <v>871</v>
      </c>
      <c r="C831" s="87" t="s">
        <v>15</v>
      </c>
      <c r="D831" s="87" t="s">
        <v>872</v>
      </c>
      <c r="E831" s="126" t="s">
        <v>794</v>
      </c>
      <c r="F831" s="126"/>
      <c r="G831" s="89" t="s">
        <v>134</v>
      </c>
      <c r="H831" s="90">
        <v>1.1000000000000001</v>
      </c>
      <c r="I831" s="91">
        <v>6.9</v>
      </c>
      <c r="J831" s="91">
        <v>7.59</v>
      </c>
    </row>
    <row r="832" spans="1:10" ht="38.25" x14ac:dyDescent="0.2">
      <c r="A832" s="87" t="s">
        <v>781</v>
      </c>
      <c r="B832" s="88" t="s">
        <v>875</v>
      </c>
      <c r="C832" s="87" t="s">
        <v>15</v>
      </c>
      <c r="D832" s="87" t="s">
        <v>876</v>
      </c>
      <c r="E832" s="126" t="s">
        <v>794</v>
      </c>
      <c r="F832" s="126"/>
      <c r="G832" s="89" t="s">
        <v>134</v>
      </c>
      <c r="H832" s="90">
        <v>0.03</v>
      </c>
      <c r="I832" s="91">
        <v>13.7</v>
      </c>
      <c r="J832" s="91">
        <v>0.41</v>
      </c>
    </row>
    <row r="833" spans="1:10" ht="38.25" x14ac:dyDescent="0.2">
      <c r="A833" s="92"/>
      <c r="B833" s="92"/>
      <c r="C833" s="92"/>
      <c r="D833" s="92"/>
      <c r="E833" s="92" t="s">
        <v>801</v>
      </c>
      <c r="F833" s="93">
        <v>2.38</v>
      </c>
      <c r="G833" s="92" t="s">
        <v>802</v>
      </c>
      <c r="H833" s="93">
        <v>0</v>
      </c>
      <c r="I833" s="92" t="s">
        <v>803</v>
      </c>
      <c r="J833" s="93">
        <v>2.38</v>
      </c>
    </row>
    <row r="834" spans="1:10" ht="38.25" x14ac:dyDescent="0.2">
      <c r="A834" s="92"/>
      <c r="B834" s="92"/>
      <c r="C834" s="92"/>
      <c r="D834" s="92"/>
      <c r="E834" s="92" t="s">
        <v>804</v>
      </c>
      <c r="F834" s="93">
        <v>2.99</v>
      </c>
      <c r="G834" s="92"/>
      <c r="H834" s="127" t="s">
        <v>805</v>
      </c>
      <c r="I834" s="127"/>
      <c r="J834" s="93">
        <v>13.37</v>
      </c>
    </row>
    <row r="835" spans="1:10" ht="15" thickBot="1" x14ac:dyDescent="0.25">
      <c r="A835" s="77"/>
      <c r="B835" s="77"/>
      <c r="C835" s="77"/>
      <c r="D835" s="77"/>
      <c r="E835" s="77"/>
      <c r="F835" s="77"/>
      <c r="G835" s="77" t="s">
        <v>806</v>
      </c>
      <c r="H835" s="94">
        <v>18.260000000000002</v>
      </c>
      <c r="I835" s="77" t="s">
        <v>807</v>
      </c>
      <c r="J835" s="78">
        <v>244.13</v>
      </c>
    </row>
    <row r="836" spans="1:10" ht="15" thickTop="1" x14ac:dyDescent="0.2">
      <c r="A836" s="95"/>
      <c r="B836" s="95"/>
      <c r="C836" s="95"/>
      <c r="D836" s="95"/>
      <c r="E836" s="95"/>
      <c r="F836" s="95"/>
      <c r="G836" s="95"/>
      <c r="H836" s="95"/>
      <c r="I836" s="95"/>
      <c r="J836" s="95"/>
    </row>
    <row r="837" spans="1:10" ht="15" x14ac:dyDescent="0.2">
      <c r="A837" s="75" t="s">
        <v>669</v>
      </c>
      <c r="B837" s="17" t="s">
        <v>11</v>
      </c>
      <c r="C837" s="75" t="s">
        <v>12</v>
      </c>
      <c r="D837" s="75" t="s">
        <v>2</v>
      </c>
      <c r="E837" s="124" t="s">
        <v>779</v>
      </c>
      <c r="F837" s="124"/>
      <c r="G837" s="76" t="s">
        <v>3</v>
      </c>
      <c r="H837" s="17" t="s">
        <v>4</v>
      </c>
      <c r="I837" s="17" t="s">
        <v>13</v>
      </c>
      <c r="J837" s="17" t="s">
        <v>17</v>
      </c>
    </row>
    <row r="838" spans="1:10" ht="38.25" x14ac:dyDescent="0.2">
      <c r="A838" s="19" t="s">
        <v>780</v>
      </c>
      <c r="B838" s="20" t="s">
        <v>682</v>
      </c>
      <c r="C838" s="19" t="s">
        <v>31</v>
      </c>
      <c r="D838" s="19" t="s">
        <v>612</v>
      </c>
      <c r="E838" s="125" t="s">
        <v>1078</v>
      </c>
      <c r="F838" s="125"/>
      <c r="G838" s="21" t="s">
        <v>50</v>
      </c>
      <c r="H838" s="86">
        <v>1</v>
      </c>
      <c r="I838" s="82">
        <v>535.45000000000005</v>
      </c>
      <c r="J838" s="82">
        <v>535.45000000000005</v>
      </c>
    </row>
    <row r="839" spans="1:10" ht="38.25" x14ac:dyDescent="0.2">
      <c r="A839" s="96" t="s">
        <v>880</v>
      </c>
      <c r="B839" s="97" t="s">
        <v>888</v>
      </c>
      <c r="C839" s="96" t="s">
        <v>31</v>
      </c>
      <c r="D839" s="96" t="s">
        <v>889</v>
      </c>
      <c r="E839" s="128" t="s">
        <v>890</v>
      </c>
      <c r="F839" s="128"/>
      <c r="G839" s="98" t="s">
        <v>785</v>
      </c>
      <c r="H839" s="99">
        <v>0.41099999999999998</v>
      </c>
      <c r="I839" s="100">
        <v>31.42</v>
      </c>
      <c r="J839" s="100">
        <v>12.91</v>
      </c>
    </row>
    <row r="840" spans="1:10" ht="38.25" x14ac:dyDescent="0.2">
      <c r="A840" s="96" t="s">
        <v>880</v>
      </c>
      <c r="B840" s="97" t="s">
        <v>891</v>
      </c>
      <c r="C840" s="96" t="s">
        <v>31</v>
      </c>
      <c r="D840" s="96" t="s">
        <v>892</v>
      </c>
      <c r="E840" s="128" t="s">
        <v>890</v>
      </c>
      <c r="F840" s="128"/>
      <c r="G840" s="98" t="s">
        <v>785</v>
      </c>
      <c r="H840" s="99">
        <v>0.41099999999999998</v>
      </c>
      <c r="I840" s="100">
        <v>27.55</v>
      </c>
      <c r="J840" s="100">
        <v>11.32</v>
      </c>
    </row>
    <row r="841" spans="1:10" ht="38.25" x14ac:dyDescent="0.2">
      <c r="A841" s="96" t="s">
        <v>880</v>
      </c>
      <c r="B841" s="97" t="s">
        <v>1079</v>
      </c>
      <c r="C841" s="96" t="s">
        <v>31</v>
      </c>
      <c r="D841" s="96" t="s">
        <v>1080</v>
      </c>
      <c r="E841" s="128" t="s">
        <v>883</v>
      </c>
      <c r="F841" s="128"/>
      <c r="G841" s="98" t="s">
        <v>887</v>
      </c>
      <c r="H841" s="99">
        <v>5.2999999999999999E-2</v>
      </c>
      <c r="I841" s="100">
        <v>1.26</v>
      </c>
      <c r="J841" s="100">
        <v>0.06</v>
      </c>
    </row>
    <row r="842" spans="1:10" ht="38.25" x14ac:dyDescent="0.2">
      <c r="A842" s="96" t="s">
        <v>880</v>
      </c>
      <c r="B842" s="97" t="s">
        <v>1081</v>
      </c>
      <c r="C842" s="96" t="s">
        <v>31</v>
      </c>
      <c r="D842" s="96" t="s">
        <v>1082</v>
      </c>
      <c r="E842" s="128" t="s">
        <v>883</v>
      </c>
      <c r="F842" s="128"/>
      <c r="G842" s="98" t="s">
        <v>884</v>
      </c>
      <c r="H842" s="99">
        <v>4.9000000000000002E-2</v>
      </c>
      <c r="I842" s="100">
        <v>0.53</v>
      </c>
      <c r="J842" s="100">
        <v>0.02</v>
      </c>
    </row>
    <row r="843" spans="1:10" ht="38.25" x14ac:dyDescent="0.2">
      <c r="A843" s="87" t="s">
        <v>781</v>
      </c>
      <c r="B843" s="88" t="s">
        <v>1083</v>
      </c>
      <c r="C843" s="87" t="s">
        <v>31</v>
      </c>
      <c r="D843" s="87" t="s">
        <v>1084</v>
      </c>
      <c r="E843" s="126" t="s">
        <v>794</v>
      </c>
      <c r="F843" s="126"/>
      <c r="G843" s="89" t="s">
        <v>50</v>
      </c>
      <c r="H843" s="90">
        <v>1.06</v>
      </c>
      <c r="I843" s="91">
        <v>482.21</v>
      </c>
      <c r="J843" s="91">
        <v>511.14</v>
      </c>
    </row>
    <row r="844" spans="1:10" ht="38.25" x14ac:dyDescent="0.2">
      <c r="A844" s="92"/>
      <c r="B844" s="92"/>
      <c r="C844" s="92"/>
      <c r="D844" s="92"/>
      <c r="E844" s="92" t="s">
        <v>801</v>
      </c>
      <c r="F844" s="93">
        <v>16.91</v>
      </c>
      <c r="G844" s="92" t="s">
        <v>802</v>
      </c>
      <c r="H844" s="93">
        <v>0</v>
      </c>
      <c r="I844" s="92" t="s">
        <v>803</v>
      </c>
      <c r="J844" s="93">
        <v>16.91</v>
      </c>
    </row>
    <row r="845" spans="1:10" ht="38.25" x14ac:dyDescent="0.2">
      <c r="A845" s="92"/>
      <c r="B845" s="92"/>
      <c r="C845" s="92"/>
      <c r="D845" s="92"/>
      <c r="E845" s="92" t="s">
        <v>804</v>
      </c>
      <c r="F845" s="93">
        <v>154.31</v>
      </c>
      <c r="G845" s="92"/>
      <c r="H845" s="127" t="s">
        <v>805</v>
      </c>
      <c r="I845" s="127"/>
      <c r="J845" s="93">
        <v>689.76</v>
      </c>
    </row>
    <row r="846" spans="1:10" ht="15" thickBot="1" x14ac:dyDescent="0.25">
      <c r="A846" s="77"/>
      <c r="B846" s="77"/>
      <c r="C846" s="77"/>
      <c r="D846" s="77"/>
      <c r="E846" s="77"/>
      <c r="F846" s="77"/>
      <c r="G846" s="77" t="s">
        <v>806</v>
      </c>
      <c r="H846" s="94">
        <v>0.5</v>
      </c>
      <c r="I846" s="77" t="s">
        <v>807</v>
      </c>
      <c r="J846" s="78">
        <v>344.88</v>
      </c>
    </row>
    <row r="847" spans="1:10" ht="15" thickTop="1" x14ac:dyDescent="0.2">
      <c r="A847" s="95"/>
      <c r="B847" s="95"/>
      <c r="C847" s="95"/>
      <c r="D847" s="95"/>
      <c r="E847" s="95"/>
      <c r="F847" s="95"/>
      <c r="G847" s="95"/>
      <c r="H847" s="95"/>
      <c r="I847" s="95"/>
      <c r="J847" s="95"/>
    </row>
    <row r="848" spans="1:10" ht="15" x14ac:dyDescent="0.2">
      <c r="A848" s="75" t="s">
        <v>670</v>
      </c>
      <c r="B848" s="17" t="s">
        <v>11</v>
      </c>
      <c r="C848" s="75" t="s">
        <v>12</v>
      </c>
      <c r="D848" s="75" t="s">
        <v>2</v>
      </c>
      <c r="E848" s="124" t="s">
        <v>779</v>
      </c>
      <c r="F848" s="124"/>
      <c r="G848" s="76" t="s">
        <v>3</v>
      </c>
      <c r="H848" s="17" t="s">
        <v>4</v>
      </c>
      <c r="I848" s="17" t="s">
        <v>13</v>
      </c>
      <c r="J848" s="17" t="s">
        <v>17</v>
      </c>
    </row>
    <row r="849" spans="1:10" ht="25.5" x14ac:dyDescent="0.2">
      <c r="A849" s="19" t="s">
        <v>780</v>
      </c>
      <c r="B849" s="20" t="s">
        <v>683</v>
      </c>
      <c r="C849" s="19" t="s">
        <v>31</v>
      </c>
      <c r="D849" s="19" t="s">
        <v>613</v>
      </c>
      <c r="E849" s="125" t="s">
        <v>1085</v>
      </c>
      <c r="F849" s="125"/>
      <c r="G849" s="21" t="s">
        <v>50</v>
      </c>
      <c r="H849" s="86">
        <v>1</v>
      </c>
      <c r="I849" s="82">
        <v>51.19</v>
      </c>
      <c r="J849" s="82">
        <v>51.19</v>
      </c>
    </row>
    <row r="850" spans="1:10" ht="38.25" x14ac:dyDescent="0.2">
      <c r="A850" s="96" t="s">
        <v>880</v>
      </c>
      <c r="B850" s="97" t="s">
        <v>1060</v>
      </c>
      <c r="C850" s="96" t="s">
        <v>31</v>
      </c>
      <c r="D850" s="96" t="s">
        <v>1061</v>
      </c>
      <c r="E850" s="128" t="s">
        <v>890</v>
      </c>
      <c r="F850" s="128"/>
      <c r="G850" s="98" t="s">
        <v>785</v>
      </c>
      <c r="H850" s="99">
        <v>0.224</v>
      </c>
      <c r="I850" s="100">
        <v>30.99</v>
      </c>
      <c r="J850" s="100">
        <v>6.94</v>
      </c>
    </row>
    <row r="851" spans="1:10" ht="38.25" x14ac:dyDescent="0.2">
      <c r="A851" s="96" t="s">
        <v>880</v>
      </c>
      <c r="B851" s="97" t="s">
        <v>888</v>
      </c>
      <c r="C851" s="96" t="s">
        <v>31</v>
      </c>
      <c r="D851" s="96" t="s">
        <v>889</v>
      </c>
      <c r="E851" s="128" t="s">
        <v>890</v>
      </c>
      <c r="F851" s="128"/>
      <c r="G851" s="98" t="s">
        <v>785</v>
      </c>
      <c r="H851" s="99">
        <v>0.224</v>
      </c>
      <c r="I851" s="100">
        <v>31.42</v>
      </c>
      <c r="J851" s="100">
        <v>7.03</v>
      </c>
    </row>
    <row r="852" spans="1:10" ht="38.25" x14ac:dyDescent="0.2">
      <c r="A852" s="96" t="s">
        <v>880</v>
      </c>
      <c r="B852" s="97" t="s">
        <v>891</v>
      </c>
      <c r="C852" s="96" t="s">
        <v>31</v>
      </c>
      <c r="D852" s="96" t="s">
        <v>892</v>
      </c>
      <c r="E852" s="128" t="s">
        <v>890</v>
      </c>
      <c r="F852" s="128"/>
      <c r="G852" s="98" t="s">
        <v>785</v>
      </c>
      <c r="H852" s="99">
        <v>1.345</v>
      </c>
      <c r="I852" s="100">
        <v>27.55</v>
      </c>
      <c r="J852" s="100">
        <v>37.049999999999997</v>
      </c>
    </row>
    <row r="853" spans="1:10" ht="38.25" x14ac:dyDescent="0.2">
      <c r="A853" s="96" t="s">
        <v>880</v>
      </c>
      <c r="B853" s="97" t="s">
        <v>1079</v>
      </c>
      <c r="C853" s="96" t="s">
        <v>31</v>
      </c>
      <c r="D853" s="96" t="s">
        <v>1080</v>
      </c>
      <c r="E853" s="128" t="s">
        <v>883</v>
      </c>
      <c r="F853" s="128"/>
      <c r="G853" s="98" t="s">
        <v>887</v>
      </c>
      <c r="H853" s="99">
        <v>9.4E-2</v>
      </c>
      <c r="I853" s="100">
        <v>1.26</v>
      </c>
      <c r="J853" s="100">
        <v>0.11</v>
      </c>
    </row>
    <row r="854" spans="1:10" ht="38.25" x14ac:dyDescent="0.2">
      <c r="A854" s="96" t="s">
        <v>880</v>
      </c>
      <c r="B854" s="97" t="s">
        <v>1081</v>
      </c>
      <c r="C854" s="96" t="s">
        <v>31</v>
      </c>
      <c r="D854" s="96" t="s">
        <v>1082</v>
      </c>
      <c r="E854" s="128" t="s">
        <v>883</v>
      </c>
      <c r="F854" s="128"/>
      <c r="G854" s="98" t="s">
        <v>884</v>
      </c>
      <c r="H854" s="99">
        <v>0.13</v>
      </c>
      <c r="I854" s="100">
        <v>0.53</v>
      </c>
      <c r="J854" s="100">
        <v>0.06</v>
      </c>
    </row>
    <row r="855" spans="1:10" ht="38.25" x14ac:dyDescent="0.2">
      <c r="A855" s="92"/>
      <c r="B855" s="92"/>
      <c r="C855" s="92"/>
      <c r="D855" s="92"/>
      <c r="E855" s="92" t="s">
        <v>801</v>
      </c>
      <c r="F855" s="93">
        <v>35.159999999999997</v>
      </c>
      <c r="G855" s="92" t="s">
        <v>802</v>
      </c>
      <c r="H855" s="93">
        <v>0</v>
      </c>
      <c r="I855" s="92" t="s">
        <v>803</v>
      </c>
      <c r="J855" s="93">
        <v>35.159999999999997</v>
      </c>
    </row>
    <row r="856" spans="1:10" ht="38.25" x14ac:dyDescent="0.2">
      <c r="A856" s="92"/>
      <c r="B856" s="92"/>
      <c r="C856" s="92"/>
      <c r="D856" s="92"/>
      <c r="E856" s="92" t="s">
        <v>804</v>
      </c>
      <c r="F856" s="93">
        <v>14.75</v>
      </c>
      <c r="G856" s="92"/>
      <c r="H856" s="127" t="s">
        <v>805</v>
      </c>
      <c r="I856" s="127"/>
      <c r="J856" s="93">
        <v>65.94</v>
      </c>
    </row>
    <row r="857" spans="1:10" ht="15" thickBot="1" x14ac:dyDescent="0.25">
      <c r="A857" s="77"/>
      <c r="B857" s="77"/>
      <c r="C857" s="77"/>
      <c r="D857" s="77"/>
      <c r="E857" s="77"/>
      <c r="F857" s="77"/>
      <c r="G857" s="77" t="s">
        <v>806</v>
      </c>
      <c r="H857" s="94">
        <v>0.5</v>
      </c>
      <c r="I857" s="77" t="s">
        <v>807</v>
      </c>
      <c r="J857" s="78">
        <v>32.97</v>
      </c>
    </row>
    <row r="858" spans="1:10" ht="15" thickTop="1" x14ac:dyDescent="0.2">
      <c r="A858" s="95"/>
      <c r="B858" s="95"/>
      <c r="C858" s="95"/>
      <c r="D858" s="95"/>
      <c r="E858" s="95"/>
      <c r="F858" s="95"/>
      <c r="G858" s="95"/>
      <c r="H858" s="95"/>
      <c r="I858" s="95"/>
      <c r="J858" s="95"/>
    </row>
    <row r="859" spans="1:10" ht="15" x14ac:dyDescent="0.2">
      <c r="A859" s="75" t="s">
        <v>671</v>
      </c>
      <c r="B859" s="17" t="s">
        <v>11</v>
      </c>
      <c r="C859" s="75" t="s">
        <v>12</v>
      </c>
      <c r="D859" s="75" t="s">
        <v>2</v>
      </c>
      <c r="E859" s="124" t="s">
        <v>779</v>
      </c>
      <c r="F859" s="124"/>
      <c r="G859" s="76" t="s">
        <v>3</v>
      </c>
      <c r="H859" s="17" t="s">
        <v>4</v>
      </c>
      <c r="I859" s="17" t="s">
        <v>13</v>
      </c>
      <c r="J859" s="17" t="s">
        <v>17</v>
      </c>
    </row>
    <row r="860" spans="1:10" ht="25.5" x14ac:dyDescent="0.2">
      <c r="A860" s="19" t="s">
        <v>780</v>
      </c>
      <c r="B860" s="20" t="s">
        <v>614</v>
      </c>
      <c r="C860" s="19" t="s">
        <v>15</v>
      </c>
      <c r="D860" s="19" t="s">
        <v>615</v>
      </c>
      <c r="E860" s="125">
        <v>14.02</v>
      </c>
      <c r="F860" s="125"/>
      <c r="G860" s="21" t="s">
        <v>5</v>
      </c>
      <c r="H860" s="86">
        <v>1</v>
      </c>
      <c r="I860" s="82">
        <v>227.75</v>
      </c>
      <c r="J860" s="82">
        <v>227.75</v>
      </c>
    </row>
    <row r="861" spans="1:10" ht="38.25" x14ac:dyDescent="0.2">
      <c r="A861" s="87" t="s">
        <v>781</v>
      </c>
      <c r="B861" s="88" t="s">
        <v>832</v>
      </c>
      <c r="C861" s="87" t="s">
        <v>15</v>
      </c>
      <c r="D861" s="87" t="s">
        <v>833</v>
      </c>
      <c r="E861" s="126" t="s">
        <v>784</v>
      </c>
      <c r="F861" s="126"/>
      <c r="G861" s="89" t="s">
        <v>785</v>
      </c>
      <c r="H861" s="90">
        <v>2.42</v>
      </c>
      <c r="I861" s="91">
        <v>22.61</v>
      </c>
      <c r="J861" s="91">
        <v>54.71</v>
      </c>
    </row>
    <row r="862" spans="1:10" ht="38.25" x14ac:dyDescent="0.2">
      <c r="A862" s="87" t="s">
        <v>781</v>
      </c>
      <c r="B862" s="88" t="s">
        <v>816</v>
      </c>
      <c r="C862" s="87" t="s">
        <v>15</v>
      </c>
      <c r="D862" s="87" t="s">
        <v>817</v>
      </c>
      <c r="E862" s="126" t="s">
        <v>784</v>
      </c>
      <c r="F862" s="126"/>
      <c r="G862" s="89" t="s">
        <v>785</v>
      </c>
      <c r="H862" s="90">
        <v>2.88</v>
      </c>
      <c r="I862" s="91">
        <v>18.57</v>
      </c>
      <c r="J862" s="91">
        <v>53.48</v>
      </c>
    </row>
    <row r="863" spans="1:10" ht="38.25" x14ac:dyDescent="0.2">
      <c r="A863" s="87" t="s">
        <v>781</v>
      </c>
      <c r="B863" s="88" t="s">
        <v>909</v>
      </c>
      <c r="C863" s="87" t="s">
        <v>15</v>
      </c>
      <c r="D863" s="87" t="s">
        <v>910</v>
      </c>
      <c r="E863" s="126" t="s">
        <v>794</v>
      </c>
      <c r="F863" s="126"/>
      <c r="G863" s="89" t="s">
        <v>134</v>
      </c>
      <c r="H863" s="90">
        <v>8.44</v>
      </c>
      <c r="I863" s="91">
        <v>0.88</v>
      </c>
      <c r="J863" s="91">
        <v>7.42</v>
      </c>
    </row>
    <row r="864" spans="1:10" ht="38.25" x14ac:dyDescent="0.2">
      <c r="A864" s="87" t="s">
        <v>781</v>
      </c>
      <c r="B864" s="88" t="s">
        <v>911</v>
      </c>
      <c r="C864" s="87" t="s">
        <v>15</v>
      </c>
      <c r="D864" s="87" t="s">
        <v>912</v>
      </c>
      <c r="E864" s="126" t="s">
        <v>794</v>
      </c>
      <c r="F864" s="126"/>
      <c r="G864" s="89" t="s">
        <v>50</v>
      </c>
      <c r="H864" s="90">
        <v>0.06</v>
      </c>
      <c r="I864" s="91">
        <v>167.7</v>
      </c>
      <c r="J864" s="91">
        <v>10.06</v>
      </c>
    </row>
    <row r="865" spans="1:10" ht="38.25" x14ac:dyDescent="0.2">
      <c r="A865" s="87" t="s">
        <v>781</v>
      </c>
      <c r="B865" s="88" t="s">
        <v>913</v>
      </c>
      <c r="C865" s="87" t="s">
        <v>15</v>
      </c>
      <c r="D865" s="87" t="s">
        <v>914</v>
      </c>
      <c r="E865" s="126" t="s">
        <v>794</v>
      </c>
      <c r="F865" s="126"/>
      <c r="G865" s="89" t="s">
        <v>134</v>
      </c>
      <c r="H865" s="90">
        <v>8.44</v>
      </c>
      <c r="I865" s="91">
        <v>0.6</v>
      </c>
      <c r="J865" s="91">
        <v>5.0599999999999996</v>
      </c>
    </row>
    <row r="866" spans="1:10" ht="38.25" x14ac:dyDescent="0.2">
      <c r="A866" s="87" t="s">
        <v>781</v>
      </c>
      <c r="B866" s="88" t="s">
        <v>1086</v>
      </c>
      <c r="C866" s="87" t="s">
        <v>15</v>
      </c>
      <c r="D866" s="87" t="s">
        <v>1087</v>
      </c>
      <c r="E866" s="126" t="s">
        <v>794</v>
      </c>
      <c r="F866" s="126"/>
      <c r="G866" s="89" t="s">
        <v>32</v>
      </c>
      <c r="H866" s="90">
        <v>154</v>
      </c>
      <c r="I866" s="91">
        <v>0.63</v>
      </c>
      <c r="J866" s="91">
        <v>97.02</v>
      </c>
    </row>
    <row r="867" spans="1:10" ht="38.25" x14ac:dyDescent="0.2">
      <c r="A867" s="92"/>
      <c r="B867" s="92"/>
      <c r="C867" s="92"/>
      <c r="D867" s="92"/>
      <c r="E867" s="92" t="s">
        <v>801</v>
      </c>
      <c r="F867" s="93">
        <v>108.19</v>
      </c>
      <c r="G867" s="92" t="s">
        <v>802</v>
      </c>
      <c r="H867" s="93">
        <v>0</v>
      </c>
      <c r="I867" s="92" t="s">
        <v>803</v>
      </c>
      <c r="J867" s="93">
        <v>108.19</v>
      </c>
    </row>
    <row r="868" spans="1:10" ht="38.25" x14ac:dyDescent="0.2">
      <c r="A868" s="92"/>
      <c r="B868" s="92"/>
      <c r="C868" s="92"/>
      <c r="D868" s="92"/>
      <c r="E868" s="92" t="s">
        <v>804</v>
      </c>
      <c r="F868" s="93">
        <v>65.63</v>
      </c>
      <c r="G868" s="92"/>
      <c r="H868" s="127" t="s">
        <v>805</v>
      </c>
      <c r="I868" s="127"/>
      <c r="J868" s="93">
        <v>293.38</v>
      </c>
    </row>
    <row r="869" spans="1:10" ht="15" thickBot="1" x14ac:dyDescent="0.25">
      <c r="A869" s="77"/>
      <c r="B869" s="77"/>
      <c r="C869" s="77"/>
      <c r="D869" s="77"/>
      <c r="E869" s="77"/>
      <c r="F869" s="77"/>
      <c r="G869" s="77" t="s">
        <v>806</v>
      </c>
      <c r="H869" s="94">
        <v>0.1</v>
      </c>
      <c r="I869" s="77" t="s">
        <v>807</v>
      </c>
      <c r="J869" s="78">
        <v>29.33</v>
      </c>
    </row>
    <row r="870" spans="1:10" ht="15" thickTop="1" x14ac:dyDescent="0.2">
      <c r="A870" s="95"/>
      <c r="B870" s="95"/>
      <c r="C870" s="95"/>
      <c r="D870" s="95"/>
      <c r="E870" s="95"/>
      <c r="F870" s="95"/>
      <c r="G870" s="95"/>
      <c r="H870" s="95"/>
      <c r="I870" s="95"/>
      <c r="J870" s="95"/>
    </row>
    <row r="871" spans="1:10" x14ac:dyDescent="0.2">
      <c r="A871" s="18" t="s">
        <v>276</v>
      </c>
      <c r="B871" s="18"/>
      <c r="C871" s="18"/>
      <c r="D871" s="18" t="s">
        <v>277</v>
      </c>
      <c r="E871" s="18"/>
      <c r="F871" s="122"/>
      <c r="G871" s="122"/>
      <c r="H871" s="39"/>
      <c r="I871" s="18"/>
      <c r="J871" s="80">
        <v>6138.57</v>
      </c>
    </row>
    <row r="872" spans="1:10" ht="15" x14ac:dyDescent="0.2">
      <c r="A872" s="75" t="s">
        <v>278</v>
      </c>
      <c r="B872" s="17" t="s">
        <v>11</v>
      </c>
      <c r="C872" s="75" t="s">
        <v>12</v>
      </c>
      <c r="D872" s="75" t="s">
        <v>2</v>
      </c>
      <c r="E872" s="124" t="s">
        <v>779</v>
      </c>
      <c r="F872" s="124"/>
      <c r="G872" s="76" t="s">
        <v>3</v>
      </c>
      <c r="H872" s="17" t="s">
        <v>4</v>
      </c>
      <c r="I872" s="17" t="s">
        <v>13</v>
      </c>
      <c r="J872" s="17" t="s">
        <v>17</v>
      </c>
    </row>
    <row r="873" spans="1:10" ht="25.5" x14ac:dyDescent="0.2">
      <c r="A873" s="19" t="s">
        <v>780</v>
      </c>
      <c r="B873" s="20" t="s">
        <v>279</v>
      </c>
      <c r="C873" s="19" t="s">
        <v>15</v>
      </c>
      <c r="D873" s="19" t="s">
        <v>280</v>
      </c>
      <c r="E873" s="125">
        <v>44.01</v>
      </c>
      <c r="F873" s="125"/>
      <c r="G873" s="21" t="s">
        <v>281</v>
      </c>
      <c r="H873" s="86">
        <v>1</v>
      </c>
      <c r="I873" s="82">
        <v>838.8</v>
      </c>
      <c r="J873" s="82">
        <v>838.8</v>
      </c>
    </row>
    <row r="874" spans="1:10" ht="38.25" x14ac:dyDescent="0.2">
      <c r="A874" s="87" t="s">
        <v>781</v>
      </c>
      <c r="B874" s="88" t="s">
        <v>960</v>
      </c>
      <c r="C874" s="87" t="s">
        <v>15</v>
      </c>
      <c r="D874" s="87" t="s">
        <v>961</v>
      </c>
      <c r="E874" s="126" t="s">
        <v>784</v>
      </c>
      <c r="F874" s="126"/>
      <c r="G874" s="89" t="s">
        <v>785</v>
      </c>
      <c r="H874" s="90">
        <v>1.5</v>
      </c>
      <c r="I874" s="91">
        <v>18.57</v>
      </c>
      <c r="J874" s="91">
        <v>27.85</v>
      </c>
    </row>
    <row r="875" spans="1:10" ht="38.25" x14ac:dyDescent="0.2">
      <c r="A875" s="87" t="s">
        <v>781</v>
      </c>
      <c r="B875" s="88" t="s">
        <v>962</v>
      </c>
      <c r="C875" s="87" t="s">
        <v>15</v>
      </c>
      <c r="D875" s="87" t="s">
        <v>963</v>
      </c>
      <c r="E875" s="126" t="s">
        <v>784</v>
      </c>
      <c r="F875" s="126"/>
      <c r="G875" s="89" t="s">
        <v>785</v>
      </c>
      <c r="H875" s="90">
        <v>1</v>
      </c>
      <c r="I875" s="91">
        <v>27.08</v>
      </c>
      <c r="J875" s="91">
        <v>27.08</v>
      </c>
    </row>
    <row r="876" spans="1:10" ht="38.25" x14ac:dyDescent="0.2">
      <c r="A876" s="87" t="s">
        <v>781</v>
      </c>
      <c r="B876" s="88" t="s">
        <v>1088</v>
      </c>
      <c r="C876" s="87" t="s">
        <v>15</v>
      </c>
      <c r="D876" s="87" t="s">
        <v>1089</v>
      </c>
      <c r="E876" s="126" t="s">
        <v>794</v>
      </c>
      <c r="F876" s="126"/>
      <c r="G876" s="89" t="s">
        <v>134</v>
      </c>
      <c r="H876" s="90">
        <v>0.25</v>
      </c>
      <c r="I876" s="91">
        <v>6.63</v>
      </c>
      <c r="J876" s="91">
        <v>1.65</v>
      </c>
    </row>
    <row r="877" spans="1:10" ht="38.25" x14ac:dyDescent="0.2">
      <c r="A877" s="87" t="s">
        <v>781</v>
      </c>
      <c r="B877" s="88" t="s">
        <v>1090</v>
      </c>
      <c r="C877" s="87" t="s">
        <v>15</v>
      </c>
      <c r="D877" s="87" t="s">
        <v>1091</v>
      </c>
      <c r="E877" s="126" t="s">
        <v>794</v>
      </c>
      <c r="F877" s="126"/>
      <c r="G877" s="89" t="s">
        <v>32</v>
      </c>
      <c r="H877" s="90">
        <v>2</v>
      </c>
      <c r="I877" s="91">
        <v>6.92</v>
      </c>
      <c r="J877" s="91">
        <v>13.84</v>
      </c>
    </row>
    <row r="878" spans="1:10" ht="38.25" x14ac:dyDescent="0.2">
      <c r="A878" s="87" t="s">
        <v>781</v>
      </c>
      <c r="B878" s="88" t="s">
        <v>1092</v>
      </c>
      <c r="C878" s="87" t="s">
        <v>15</v>
      </c>
      <c r="D878" s="87" t="s">
        <v>1093</v>
      </c>
      <c r="E878" s="126" t="s">
        <v>794</v>
      </c>
      <c r="F878" s="126"/>
      <c r="G878" s="89" t="s">
        <v>32</v>
      </c>
      <c r="H878" s="90">
        <v>1</v>
      </c>
      <c r="I878" s="91">
        <v>38.04</v>
      </c>
      <c r="J878" s="91">
        <v>38.04</v>
      </c>
    </row>
    <row r="879" spans="1:10" ht="38.25" x14ac:dyDescent="0.2">
      <c r="A879" s="87" t="s">
        <v>781</v>
      </c>
      <c r="B879" s="88" t="s">
        <v>1094</v>
      </c>
      <c r="C879" s="87" t="s">
        <v>15</v>
      </c>
      <c r="D879" s="87" t="s">
        <v>1095</v>
      </c>
      <c r="E879" s="126" t="s">
        <v>794</v>
      </c>
      <c r="F879" s="126"/>
      <c r="G879" s="89" t="s">
        <v>32</v>
      </c>
      <c r="H879" s="90">
        <v>1</v>
      </c>
      <c r="I879" s="91">
        <v>16.670000000000002</v>
      </c>
      <c r="J879" s="91">
        <v>16.670000000000002</v>
      </c>
    </row>
    <row r="880" spans="1:10" ht="38.25" x14ac:dyDescent="0.2">
      <c r="A880" s="87" t="s">
        <v>781</v>
      </c>
      <c r="B880" s="88" t="s">
        <v>1096</v>
      </c>
      <c r="C880" s="87" t="s">
        <v>15</v>
      </c>
      <c r="D880" s="87" t="s">
        <v>1097</v>
      </c>
      <c r="E880" s="126" t="s">
        <v>794</v>
      </c>
      <c r="F880" s="126"/>
      <c r="G880" s="89" t="s">
        <v>32</v>
      </c>
      <c r="H880" s="90">
        <v>1</v>
      </c>
      <c r="I880" s="91">
        <v>8.69</v>
      </c>
      <c r="J880" s="91">
        <v>8.69</v>
      </c>
    </row>
    <row r="881" spans="1:10" ht="38.25" x14ac:dyDescent="0.2">
      <c r="A881" s="87" t="s">
        <v>781</v>
      </c>
      <c r="B881" s="88" t="s">
        <v>1098</v>
      </c>
      <c r="C881" s="87" t="s">
        <v>15</v>
      </c>
      <c r="D881" s="87" t="s">
        <v>1099</v>
      </c>
      <c r="E881" s="126" t="s">
        <v>794</v>
      </c>
      <c r="F881" s="126"/>
      <c r="G881" s="89" t="s">
        <v>281</v>
      </c>
      <c r="H881" s="90">
        <v>1</v>
      </c>
      <c r="I881" s="91">
        <v>704.98</v>
      </c>
      <c r="J881" s="91">
        <v>704.98</v>
      </c>
    </row>
    <row r="882" spans="1:10" ht="38.25" x14ac:dyDescent="0.2">
      <c r="A882" s="92"/>
      <c r="B882" s="92"/>
      <c r="C882" s="92"/>
      <c r="D882" s="92"/>
      <c r="E882" s="92" t="s">
        <v>801</v>
      </c>
      <c r="F882" s="93">
        <v>54.93</v>
      </c>
      <c r="G882" s="92" t="s">
        <v>802</v>
      </c>
      <c r="H882" s="93">
        <v>0</v>
      </c>
      <c r="I882" s="92" t="s">
        <v>803</v>
      </c>
      <c r="J882" s="93">
        <v>54.93</v>
      </c>
    </row>
    <row r="883" spans="1:10" ht="38.25" x14ac:dyDescent="0.2">
      <c r="A883" s="92"/>
      <c r="B883" s="92"/>
      <c r="C883" s="92"/>
      <c r="D883" s="92"/>
      <c r="E883" s="92" t="s">
        <v>804</v>
      </c>
      <c r="F883" s="93">
        <v>241.74</v>
      </c>
      <c r="G883" s="92"/>
      <c r="H883" s="127" t="s">
        <v>805</v>
      </c>
      <c r="I883" s="127"/>
      <c r="J883" s="93">
        <v>1080.54</v>
      </c>
    </row>
    <row r="884" spans="1:10" ht="15" thickBot="1" x14ac:dyDescent="0.25">
      <c r="A884" s="77"/>
      <c r="B884" s="77"/>
      <c r="C884" s="77"/>
      <c r="D884" s="77"/>
      <c r="E884" s="77"/>
      <c r="F884" s="77"/>
      <c r="G884" s="77" t="s">
        <v>806</v>
      </c>
      <c r="H884" s="94">
        <v>1</v>
      </c>
      <c r="I884" s="77" t="s">
        <v>807</v>
      </c>
      <c r="J884" s="78">
        <v>1080.54</v>
      </c>
    </row>
    <row r="885" spans="1:10" ht="15" thickTop="1" x14ac:dyDescent="0.2">
      <c r="A885" s="95"/>
      <c r="B885" s="95"/>
      <c r="C885" s="95"/>
      <c r="D885" s="95"/>
      <c r="E885" s="95"/>
      <c r="F885" s="95"/>
      <c r="G885" s="95"/>
      <c r="H885" s="95"/>
      <c r="I885" s="95"/>
      <c r="J885" s="95"/>
    </row>
    <row r="886" spans="1:10" ht="15" x14ac:dyDescent="0.2">
      <c r="A886" s="75" t="s">
        <v>282</v>
      </c>
      <c r="B886" s="17" t="s">
        <v>11</v>
      </c>
      <c r="C886" s="75" t="s">
        <v>12</v>
      </c>
      <c r="D886" s="75" t="s">
        <v>2</v>
      </c>
      <c r="E886" s="124" t="s">
        <v>779</v>
      </c>
      <c r="F886" s="124"/>
      <c r="G886" s="76" t="s">
        <v>3</v>
      </c>
      <c r="H886" s="17" t="s">
        <v>4</v>
      </c>
      <c r="I886" s="17" t="s">
        <v>13</v>
      </c>
      <c r="J886" s="17" t="s">
        <v>17</v>
      </c>
    </row>
    <row r="887" spans="1:10" ht="25.5" x14ac:dyDescent="0.2">
      <c r="A887" s="19" t="s">
        <v>780</v>
      </c>
      <c r="B887" s="20" t="s">
        <v>283</v>
      </c>
      <c r="C887" s="19" t="s">
        <v>15</v>
      </c>
      <c r="D887" s="19" t="s">
        <v>284</v>
      </c>
      <c r="E887" s="125">
        <v>44.01</v>
      </c>
      <c r="F887" s="125"/>
      <c r="G887" s="21" t="s">
        <v>32</v>
      </c>
      <c r="H887" s="86">
        <v>1</v>
      </c>
      <c r="I887" s="82">
        <v>962.41</v>
      </c>
      <c r="J887" s="82">
        <v>962.41</v>
      </c>
    </row>
    <row r="888" spans="1:10" ht="38.25" x14ac:dyDescent="0.2">
      <c r="A888" s="87" t="s">
        <v>781</v>
      </c>
      <c r="B888" s="88" t="s">
        <v>962</v>
      </c>
      <c r="C888" s="87" t="s">
        <v>15</v>
      </c>
      <c r="D888" s="87" t="s">
        <v>963</v>
      </c>
      <c r="E888" s="126" t="s">
        <v>784</v>
      </c>
      <c r="F888" s="126"/>
      <c r="G888" s="89" t="s">
        <v>785</v>
      </c>
      <c r="H888" s="90">
        <v>1</v>
      </c>
      <c r="I888" s="91">
        <v>27.08</v>
      </c>
      <c r="J888" s="91">
        <v>27.08</v>
      </c>
    </row>
    <row r="889" spans="1:10" ht="38.25" x14ac:dyDescent="0.2">
      <c r="A889" s="87" t="s">
        <v>781</v>
      </c>
      <c r="B889" s="88" t="s">
        <v>960</v>
      </c>
      <c r="C889" s="87" t="s">
        <v>15</v>
      </c>
      <c r="D889" s="87" t="s">
        <v>961</v>
      </c>
      <c r="E889" s="126" t="s">
        <v>784</v>
      </c>
      <c r="F889" s="126"/>
      <c r="G889" s="89" t="s">
        <v>785</v>
      </c>
      <c r="H889" s="90">
        <v>2</v>
      </c>
      <c r="I889" s="91">
        <v>18.57</v>
      </c>
      <c r="J889" s="91">
        <v>37.14</v>
      </c>
    </row>
    <row r="890" spans="1:10" ht="38.25" x14ac:dyDescent="0.2">
      <c r="A890" s="87" t="s">
        <v>781</v>
      </c>
      <c r="B890" s="88" t="s">
        <v>1011</v>
      </c>
      <c r="C890" s="87" t="s">
        <v>15</v>
      </c>
      <c r="D890" s="87" t="s">
        <v>1012</v>
      </c>
      <c r="E890" s="126" t="s">
        <v>794</v>
      </c>
      <c r="F890" s="126"/>
      <c r="G890" s="89" t="s">
        <v>78</v>
      </c>
      <c r="H890" s="90">
        <v>1</v>
      </c>
      <c r="I890" s="91">
        <v>0.19</v>
      </c>
      <c r="J890" s="91">
        <v>0.19</v>
      </c>
    </row>
    <row r="891" spans="1:10" ht="38.25" x14ac:dyDescent="0.2">
      <c r="A891" s="87" t="s">
        <v>781</v>
      </c>
      <c r="B891" s="88" t="s">
        <v>1100</v>
      </c>
      <c r="C891" s="87" t="s">
        <v>15</v>
      </c>
      <c r="D891" s="87" t="s">
        <v>1101</v>
      </c>
      <c r="E891" s="126" t="s">
        <v>794</v>
      </c>
      <c r="F891" s="126"/>
      <c r="G891" s="89" t="s">
        <v>1102</v>
      </c>
      <c r="H891" s="90">
        <v>1</v>
      </c>
      <c r="I891" s="91">
        <v>14.42</v>
      </c>
      <c r="J891" s="91">
        <v>14.42</v>
      </c>
    </row>
    <row r="892" spans="1:10" ht="38.25" x14ac:dyDescent="0.2">
      <c r="A892" s="87" t="s">
        <v>781</v>
      </c>
      <c r="B892" s="88" t="s">
        <v>1103</v>
      </c>
      <c r="C892" s="87" t="s">
        <v>15</v>
      </c>
      <c r="D892" s="87" t="s">
        <v>1104</v>
      </c>
      <c r="E892" s="126" t="s">
        <v>794</v>
      </c>
      <c r="F892" s="126"/>
      <c r="G892" s="89" t="s">
        <v>281</v>
      </c>
      <c r="H892" s="90">
        <v>1</v>
      </c>
      <c r="I892" s="91">
        <v>883.58</v>
      </c>
      <c r="J892" s="91">
        <v>883.58</v>
      </c>
    </row>
    <row r="893" spans="1:10" ht="38.25" x14ac:dyDescent="0.2">
      <c r="A893" s="92"/>
      <c r="B893" s="92"/>
      <c r="C893" s="92"/>
      <c r="D893" s="92"/>
      <c r="E893" s="92" t="s">
        <v>801</v>
      </c>
      <c r="F893" s="93">
        <v>64.22</v>
      </c>
      <c r="G893" s="92" t="s">
        <v>802</v>
      </c>
      <c r="H893" s="93">
        <v>0</v>
      </c>
      <c r="I893" s="92" t="s">
        <v>803</v>
      </c>
      <c r="J893" s="93">
        <v>64.22</v>
      </c>
    </row>
    <row r="894" spans="1:10" ht="38.25" x14ac:dyDescent="0.2">
      <c r="A894" s="92"/>
      <c r="B894" s="92"/>
      <c r="C894" s="92"/>
      <c r="D894" s="92"/>
      <c r="E894" s="92" t="s">
        <v>804</v>
      </c>
      <c r="F894" s="93">
        <v>277.36</v>
      </c>
      <c r="G894" s="92"/>
      <c r="H894" s="127" t="s">
        <v>805</v>
      </c>
      <c r="I894" s="127"/>
      <c r="J894" s="93">
        <v>1239.77</v>
      </c>
    </row>
    <row r="895" spans="1:10" ht="15" thickBot="1" x14ac:dyDescent="0.25">
      <c r="A895" s="77"/>
      <c r="B895" s="77"/>
      <c r="C895" s="77"/>
      <c r="D895" s="77"/>
      <c r="E895" s="77"/>
      <c r="F895" s="77"/>
      <c r="G895" s="77" t="s">
        <v>806</v>
      </c>
      <c r="H895" s="94">
        <v>1</v>
      </c>
      <c r="I895" s="77" t="s">
        <v>807</v>
      </c>
      <c r="J895" s="78">
        <v>1239.77</v>
      </c>
    </row>
    <row r="896" spans="1:10" ht="15" thickTop="1" x14ac:dyDescent="0.2">
      <c r="A896" s="95"/>
      <c r="B896" s="95"/>
      <c r="C896" s="95"/>
      <c r="D896" s="95"/>
      <c r="E896" s="95"/>
      <c r="F896" s="95"/>
      <c r="G896" s="95"/>
      <c r="H896" s="95"/>
      <c r="I896" s="95"/>
      <c r="J896" s="95"/>
    </row>
    <row r="897" spans="1:10" ht="15" x14ac:dyDescent="0.2">
      <c r="A897" s="75" t="s">
        <v>285</v>
      </c>
      <c r="B897" s="17" t="s">
        <v>11</v>
      </c>
      <c r="C897" s="75" t="s">
        <v>12</v>
      </c>
      <c r="D897" s="75" t="s">
        <v>2</v>
      </c>
      <c r="E897" s="124" t="s">
        <v>779</v>
      </c>
      <c r="F897" s="124"/>
      <c r="G897" s="76" t="s">
        <v>3</v>
      </c>
      <c r="H897" s="17" t="s">
        <v>4</v>
      </c>
      <c r="I897" s="17" t="s">
        <v>13</v>
      </c>
      <c r="J897" s="17" t="s">
        <v>17</v>
      </c>
    </row>
    <row r="898" spans="1:10" ht="25.5" x14ac:dyDescent="0.2">
      <c r="A898" s="19" t="s">
        <v>780</v>
      </c>
      <c r="B898" s="20" t="s">
        <v>286</v>
      </c>
      <c r="C898" s="19" t="s">
        <v>15</v>
      </c>
      <c r="D898" s="19" t="s">
        <v>287</v>
      </c>
      <c r="E898" s="125">
        <v>44.03</v>
      </c>
      <c r="F898" s="125"/>
      <c r="G898" s="21" t="s">
        <v>32</v>
      </c>
      <c r="H898" s="86">
        <v>1</v>
      </c>
      <c r="I898" s="82">
        <v>861.36</v>
      </c>
      <c r="J898" s="82">
        <v>861.36</v>
      </c>
    </row>
    <row r="899" spans="1:10" ht="38.25" x14ac:dyDescent="0.2">
      <c r="A899" s="87" t="s">
        <v>781</v>
      </c>
      <c r="B899" s="88" t="s">
        <v>960</v>
      </c>
      <c r="C899" s="87" t="s">
        <v>15</v>
      </c>
      <c r="D899" s="87" t="s">
        <v>961</v>
      </c>
      <c r="E899" s="126" t="s">
        <v>784</v>
      </c>
      <c r="F899" s="126"/>
      <c r="G899" s="89" t="s">
        <v>785</v>
      </c>
      <c r="H899" s="90">
        <v>0.5</v>
      </c>
      <c r="I899" s="91">
        <v>18.57</v>
      </c>
      <c r="J899" s="91">
        <v>9.2799999999999994</v>
      </c>
    </row>
    <row r="900" spans="1:10" ht="38.25" x14ac:dyDescent="0.2">
      <c r="A900" s="87" t="s">
        <v>781</v>
      </c>
      <c r="B900" s="88" t="s">
        <v>962</v>
      </c>
      <c r="C900" s="87" t="s">
        <v>15</v>
      </c>
      <c r="D900" s="87" t="s">
        <v>963</v>
      </c>
      <c r="E900" s="126" t="s">
        <v>784</v>
      </c>
      <c r="F900" s="126"/>
      <c r="G900" s="89" t="s">
        <v>785</v>
      </c>
      <c r="H900" s="90">
        <v>0.3</v>
      </c>
      <c r="I900" s="91">
        <v>27.08</v>
      </c>
      <c r="J900" s="91">
        <v>8.1199999999999992</v>
      </c>
    </row>
    <row r="901" spans="1:10" ht="38.25" x14ac:dyDescent="0.2">
      <c r="A901" s="87" t="s">
        <v>781</v>
      </c>
      <c r="B901" s="88" t="s">
        <v>1011</v>
      </c>
      <c r="C901" s="87" t="s">
        <v>15</v>
      </c>
      <c r="D901" s="87" t="s">
        <v>1012</v>
      </c>
      <c r="E901" s="126" t="s">
        <v>794</v>
      </c>
      <c r="F901" s="126"/>
      <c r="G901" s="89" t="s">
        <v>78</v>
      </c>
      <c r="H901" s="90">
        <v>0.28000000000000003</v>
      </c>
      <c r="I901" s="91">
        <v>0.19</v>
      </c>
      <c r="J901" s="91">
        <v>0.05</v>
      </c>
    </row>
    <row r="902" spans="1:10" ht="38.25" x14ac:dyDescent="0.2">
      <c r="A902" s="87" t="s">
        <v>781</v>
      </c>
      <c r="B902" s="88" t="s">
        <v>1105</v>
      </c>
      <c r="C902" s="87" t="s">
        <v>15</v>
      </c>
      <c r="D902" s="87" t="s">
        <v>1106</v>
      </c>
      <c r="E902" s="126" t="s">
        <v>794</v>
      </c>
      <c r="F902" s="126"/>
      <c r="G902" s="89" t="s">
        <v>32</v>
      </c>
      <c r="H902" s="90">
        <v>1</v>
      </c>
      <c r="I902" s="91">
        <v>843.91</v>
      </c>
      <c r="J902" s="91">
        <v>843.91</v>
      </c>
    </row>
    <row r="903" spans="1:10" ht="38.25" x14ac:dyDescent="0.2">
      <c r="A903" s="92"/>
      <c r="B903" s="92"/>
      <c r="C903" s="92"/>
      <c r="D903" s="92"/>
      <c r="E903" s="92" t="s">
        <v>801</v>
      </c>
      <c r="F903" s="93">
        <v>17.399999999999999</v>
      </c>
      <c r="G903" s="92" t="s">
        <v>802</v>
      </c>
      <c r="H903" s="93">
        <v>0</v>
      </c>
      <c r="I903" s="92" t="s">
        <v>803</v>
      </c>
      <c r="J903" s="93">
        <v>17.399999999999999</v>
      </c>
    </row>
    <row r="904" spans="1:10" ht="38.25" x14ac:dyDescent="0.2">
      <c r="A904" s="92"/>
      <c r="B904" s="92"/>
      <c r="C904" s="92"/>
      <c r="D904" s="92"/>
      <c r="E904" s="92" t="s">
        <v>804</v>
      </c>
      <c r="F904" s="93">
        <v>248.24</v>
      </c>
      <c r="G904" s="92"/>
      <c r="H904" s="127" t="s">
        <v>805</v>
      </c>
      <c r="I904" s="127"/>
      <c r="J904" s="93">
        <v>1109.5999999999999</v>
      </c>
    </row>
    <row r="905" spans="1:10" ht="15" thickBot="1" x14ac:dyDescent="0.25">
      <c r="A905" s="77"/>
      <c r="B905" s="77"/>
      <c r="C905" s="77"/>
      <c r="D905" s="77"/>
      <c r="E905" s="77"/>
      <c r="F905" s="77"/>
      <c r="G905" s="77" t="s">
        <v>806</v>
      </c>
      <c r="H905" s="94">
        <v>1</v>
      </c>
      <c r="I905" s="77" t="s">
        <v>807</v>
      </c>
      <c r="J905" s="78">
        <v>1109.5999999999999</v>
      </c>
    </row>
    <row r="906" spans="1:10" ht="15" thickTop="1" x14ac:dyDescent="0.2">
      <c r="A906" s="95"/>
      <c r="B906" s="95"/>
      <c r="C906" s="95"/>
      <c r="D906" s="95"/>
      <c r="E906" s="95"/>
      <c r="F906" s="95"/>
      <c r="G906" s="95"/>
      <c r="H906" s="95"/>
      <c r="I906" s="95"/>
      <c r="J906" s="95"/>
    </row>
    <row r="907" spans="1:10" ht="15" x14ac:dyDescent="0.2">
      <c r="A907" s="75" t="s">
        <v>288</v>
      </c>
      <c r="B907" s="17" t="s">
        <v>11</v>
      </c>
      <c r="C907" s="75" t="s">
        <v>12</v>
      </c>
      <c r="D907" s="75" t="s">
        <v>2</v>
      </c>
      <c r="E907" s="124" t="s">
        <v>779</v>
      </c>
      <c r="F907" s="124"/>
      <c r="G907" s="76" t="s">
        <v>3</v>
      </c>
      <c r="H907" s="17" t="s">
        <v>4</v>
      </c>
      <c r="I907" s="17" t="s">
        <v>13</v>
      </c>
      <c r="J907" s="17" t="s">
        <v>17</v>
      </c>
    </row>
    <row r="908" spans="1:10" ht="25.5" x14ac:dyDescent="0.2">
      <c r="A908" s="19" t="s">
        <v>780</v>
      </c>
      <c r="B908" s="20" t="s">
        <v>289</v>
      </c>
      <c r="C908" s="19" t="s">
        <v>31</v>
      </c>
      <c r="D908" s="19" t="s">
        <v>290</v>
      </c>
      <c r="E908" s="125" t="s">
        <v>1107</v>
      </c>
      <c r="F908" s="125"/>
      <c r="G908" s="21" t="s">
        <v>5</v>
      </c>
      <c r="H908" s="86">
        <v>1</v>
      </c>
      <c r="I908" s="82">
        <v>721.32</v>
      </c>
      <c r="J908" s="82">
        <v>721.32</v>
      </c>
    </row>
    <row r="909" spans="1:10" ht="38.25" x14ac:dyDescent="0.2">
      <c r="A909" s="96" t="s">
        <v>880</v>
      </c>
      <c r="B909" s="97" t="s">
        <v>1058</v>
      </c>
      <c r="C909" s="96" t="s">
        <v>31</v>
      </c>
      <c r="D909" s="96" t="s">
        <v>1059</v>
      </c>
      <c r="E909" s="128" t="s">
        <v>890</v>
      </c>
      <c r="F909" s="128"/>
      <c r="G909" s="98" t="s">
        <v>785</v>
      </c>
      <c r="H909" s="99">
        <v>1.8</v>
      </c>
      <c r="I909" s="100">
        <v>29.42</v>
      </c>
      <c r="J909" s="100">
        <v>52.95</v>
      </c>
    </row>
    <row r="910" spans="1:10" ht="38.25" x14ac:dyDescent="0.2">
      <c r="A910" s="96" t="s">
        <v>880</v>
      </c>
      <c r="B910" s="97" t="s">
        <v>1108</v>
      </c>
      <c r="C910" s="96" t="s">
        <v>31</v>
      </c>
      <c r="D910" s="96" t="s">
        <v>1109</v>
      </c>
      <c r="E910" s="128" t="s">
        <v>890</v>
      </c>
      <c r="F910" s="128"/>
      <c r="G910" s="98" t="s">
        <v>785</v>
      </c>
      <c r="H910" s="99">
        <v>1.8</v>
      </c>
      <c r="I910" s="100">
        <v>27.29</v>
      </c>
      <c r="J910" s="100">
        <v>49.12</v>
      </c>
    </row>
    <row r="911" spans="1:10" ht="25.5" x14ac:dyDescent="0.2">
      <c r="A911" s="87" t="s">
        <v>781</v>
      </c>
      <c r="B911" s="88" t="s">
        <v>1110</v>
      </c>
      <c r="C911" s="87" t="s">
        <v>31</v>
      </c>
      <c r="D911" s="87" t="s">
        <v>1111</v>
      </c>
      <c r="E911" s="126" t="s">
        <v>794</v>
      </c>
      <c r="F911" s="126"/>
      <c r="G911" s="89" t="s">
        <v>720</v>
      </c>
      <c r="H911" s="90">
        <v>0.18</v>
      </c>
      <c r="I911" s="91">
        <v>14.39</v>
      </c>
      <c r="J911" s="91">
        <v>2.59</v>
      </c>
    </row>
    <row r="912" spans="1:10" x14ac:dyDescent="0.2">
      <c r="A912" s="87" t="s">
        <v>781</v>
      </c>
      <c r="B912" s="88" t="s">
        <v>1112</v>
      </c>
      <c r="C912" s="87" t="s">
        <v>31</v>
      </c>
      <c r="D912" s="87" t="s">
        <v>1113</v>
      </c>
      <c r="E912" s="126" t="s">
        <v>794</v>
      </c>
      <c r="F912" s="126"/>
      <c r="G912" s="89" t="s">
        <v>134</v>
      </c>
      <c r="H912" s="90">
        <v>1.54</v>
      </c>
      <c r="I912" s="91">
        <v>40.56</v>
      </c>
      <c r="J912" s="91">
        <v>62.46</v>
      </c>
    </row>
    <row r="913" spans="1:10" ht="25.5" x14ac:dyDescent="0.2">
      <c r="A913" s="87" t="s">
        <v>781</v>
      </c>
      <c r="B913" s="88" t="s">
        <v>1114</v>
      </c>
      <c r="C913" s="87" t="s">
        <v>31</v>
      </c>
      <c r="D913" s="87" t="s">
        <v>1115</v>
      </c>
      <c r="E913" s="126" t="s">
        <v>794</v>
      </c>
      <c r="F913" s="126"/>
      <c r="G913" s="89" t="s">
        <v>5</v>
      </c>
      <c r="H913" s="90">
        <v>1.05</v>
      </c>
      <c r="I913" s="91">
        <v>36.39</v>
      </c>
      <c r="J913" s="91">
        <v>38.200000000000003</v>
      </c>
    </row>
    <row r="914" spans="1:10" x14ac:dyDescent="0.2">
      <c r="A914" s="87" t="s">
        <v>781</v>
      </c>
      <c r="B914" s="88" t="s">
        <v>1116</v>
      </c>
      <c r="C914" s="87" t="s">
        <v>31</v>
      </c>
      <c r="D914" s="87" t="s">
        <v>1117</v>
      </c>
      <c r="E914" s="126" t="s">
        <v>794</v>
      </c>
      <c r="F914" s="126"/>
      <c r="G914" s="89" t="s">
        <v>5</v>
      </c>
      <c r="H914" s="90">
        <v>1</v>
      </c>
      <c r="I914" s="91">
        <v>516</v>
      </c>
      <c r="J914" s="91">
        <v>516</v>
      </c>
    </row>
    <row r="915" spans="1:10" ht="38.25" x14ac:dyDescent="0.2">
      <c r="A915" s="92"/>
      <c r="B915" s="92"/>
      <c r="C915" s="92"/>
      <c r="D915" s="92"/>
      <c r="E915" s="92" t="s">
        <v>801</v>
      </c>
      <c r="F915" s="93">
        <v>70.290000000000006</v>
      </c>
      <c r="G915" s="92" t="s">
        <v>802</v>
      </c>
      <c r="H915" s="93">
        <v>0</v>
      </c>
      <c r="I915" s="92" t="s">
        <v>803</v>
      </c>
      <c r="J915" s="93">
        <v>70.290000000000006</v>
      </c>
    </row>
    <row r="916" spans="1:10" ht="38.25" x14ac:dyDescent="0.2">
      <c r="A916" s="92"/>
      <c r="B916" s="92"/>
      <c r="C916" s="92"/>
      <c r="D916" s="92"/>
      <c r="E916" s="92" t="s">
        <v>804</v>
      </c>
      <c r="F916" s="93">
        <v>207.88</v>
      </c>
      <c r="G916" s="92"/>
      <c r="H916" s="127" t="s">
        <v>805</v>
      </c>
      <c r="I916" s="127"/>
      <c r="J916" s="93">
        <v>929.2</v>
      </c>
    </row>
    <row r="917" spans="1:10" ht="15" thickBot="1" x14ac:dyDescent="0.25">
      <c r="A917" s="77"/>
      <c r="B917" s="77"/>
      <c r="C917" s="77"/>
      <c r="D917" s="77"/>
      <c r="E917" s="77"/>
      <c r="F917" s="77"/>
      <c r="G917" s="77" t="s">
        <v>806</v>
      </c>
      <c r="H917" s="94">
        <v>0.24</v>
      </c>
      <c r="I917" s="77" t="s">
        <v>807</v>
      </c>
      <c r="J917" s="78">
        <v>223</v>
      </c>
    </row>
    <row r="918" spans="1:10" ht="15" thickTop="1" x14ac:dyDescent="0.2">
      <c r="A918" s="95"/>
      <c r="B918" s="95"/>
      <c r="C918" s="95"/>
      <c r="D918" s="95"/>
      <c r="E918" s="95"/>
      <c r="F918" s="95"/>
      <c r="G918" s="95"/>
      <c r="H918" s="95"/>
      <c r="I918" s="95"/>
      <c r="J918" s="95"/>
    </row>
    <row r="919" spans="1:10" ht="15" x14ac:dyDescent="0.2">
      <c r="A919" s="75" t="s">
        <v>291</v>
      </c>
      <c r="B919" s="17" t="s">
        <v>11</v>
      </c>
      <c r="C919" s="75" t="s">
        <v>12</v>
      </c>
      <c r="D919" s="75" t="s">
        <v>2</v>
      </c>
      <c r="E919" s="124" t="s">
        <v>779</v>
      </c>
      <c r="F919" s="124"/>
      <c r="G919" s="76" t="s">
        <v>3</v>
      </c>
      <c r="H919" s="17" t="s">
        <v>4</v>
      </c>
      <c r="I919" s="17" t="s">
        <v>13</v>
      </c>
      <c r="J919" s="17" t="s">
        <v>17</v>
      </c>
    </row>
    <row r="920" spans="1:10" ht="25.5" x14ac:dyDescent="0.2">
      <c r="A920" s="19" t="s">
        <v>780</v>
      </c>
      <c r="B920" s="20" t="s">
        <v>292</v>
      </c>
      <c r="C920" s="19" t="s">
        <v>31</v>
      </c>
      <c r="D920" s="19" t="s">
        <v>293</v>
      </c>
      <c r="E920" s="125" t="s">
        <v>1118</v>
      </c>
      <c r="F920" s="125"/>
      <c r="G920" s="21" t="s">
        <v>32</v>
      </c>
      <c r="H920" s="86">
        <v>1</v>
      </c>
      <c r="I920" s="82">
        <v>68.69</v>
      </c>
      <c r="J920" s="82">
        <v>68.69</v>
      </c>
    </row>
    <row r="921" spans="1:10" ht="38.25" x14ac:dyDescent="0.2">
      <c r="A921" s="96" t="s">
        <v>880</v>
      </c>
      <c r="B921" s="97" t="s">
        <v>1119</v>
      </c>
      <c r="C921" s="96" t="s">
        <v>31</v>
      </c>
      <c r="D921" s="96" t="s">
        <v>1120</v>
      </c>
      <c r="E921" s="128" t="s">
        <v>890</v>
      </c>
      <c r="F921" s="128"/>
      <c r="G921" s="98" t="s">
        <v>785</v>
      </c>
      <c r="H921" s="99">
        <v>0.31619999999999998</v>
      </c>
      <c r="I921" s="100">
        <v>34.96</v>
      </c>
      <c r="J921" s="100">
        <v>11.05</v>
      </c>
    </row>
    <row r="922" spans="1:10" ht="38.25" x14ac:dyDescent="0.2">
      <c r="A922" s="96" t="s">
        <v>880</v>
      </c>
      <c r="B922" s="97" t="s">
        <v>891</v>
      </c>
      <c r="C922" s="96" t="s">
        <v>31</v>
      </c>
      <c r="D922" s="96" t="s">
        <v>892</v>
      </c>
      <c r="E922" s="128" t="s">
        <v>890</v>
      </c>
      <c r="F922" s="128"/>
      <c r="G922" s="98" t="s">
        <v>785</v>
      </c>
      <c r="H922" s="99">
        <v>9.9599999999999994E-2</v>
      </c>
      <c r="I922" s="100">
        <v>27.55</v>
      </c>
      <c r="J922" s="100">
        <v>2.74</v>
      </c>
    </row>
    <row r="923" spans="1:10" ht="25.5" x14ac:dyDescent="0.2">
      <c r="A923" s="87" t="s">
        <v>781</v>
      </c>
      <c r="B923" s="88" t="s">
        <v>1121</v>
      </c>
      <c r="C923" s="87" t="s">
        <v>31</v>
      </c>
      <c r="D923" s="87" t="s">
        <v>1122</v>
      </c>
      <c r="E923" s="126" t="s">
        <v>794</v>
      </c>
      <c r="F923" s="126"/>
      <c r="G923" s="89" t="s">
        <v>32</v>
      </c>
      <c r="H923" s="90">
        <v>1</v>
      </c>
      <c r="I923" s="91">
        <v>54.9</v>
      </c>
      <c r="J923" s="91">
        <v>54.9</v>
      </c>
    </row>
    <row r="924" spans="1:10" ht="38.25" x14ac:dyDescent="0.2">
      <c r="A924" s="92"/>
      <c r="B924" s="92"/>
      <c r="C924" s="92"/>
      <c r="D924" s="92"/>
      <c r="E924" s="92" t="s">
        <v>801</v>
      </c>
      <c r="F924" s="93">
        <v>10.29</v>
      </c>
      <c r="G924" s="92" t="s">
        <v>802</v>
      </c>
      <c r="H924" s="93">
        <v>0</v>
      </c>
      <c r="I924" s="92" t="s">
        <v>803</v>
      </c>
      <c r="J924" s="93">
        <v>10.29</v>
      </c>
    </row>
    <row r="925" spans="1:10" ht="38.25" x14ac:dyDescent="0.2">
      <c r="A925" s="92"/>
      <c r="B925" s="92"/>
      <c r="C925" s="92"/>
      <c r="D925" s="92"/>
      <c r="E925" s="92" t="s">
        <v>804</v>
      </c>
      <c r="F925" s="93">
        <v>19.79</v>
      </c>
      <c r="G925" s="92"/>
      <c r="H925" s="127" t="s">
        <v>805</v>
      </c>
      <c r="I925" s="127"/>
      <c r="J925" s="93">
        <v>88.48</v>
      </c>
    </row>
    <row r="926" spans="1:10" ht="15" thickBot="1" x14ac:dyDescent="0.25">
      <c r="A926" s="77"/>
      <c r="B926" s="77"/>
      <c r="C926" s="77"/>
      <c r="D926" s="77"/>
      <c r="E926" s="77"/>
      <c r="F926" s="77"/>
      <c r="G926" s="77" t="s">
        <v>806</v>
      </c>
      <c r="H926" s="94">
        <v>1</v>
      </c>
      <c r="I926" s="77" t="s">
        <v>807</v>
      </c>
      <c r="J926" s="78">
        <v>88.48</v>
      </c>
    </row>
    <row r="927" spans="1:10" ht="15" thickTop="1" x14ac:dyDescent="0.2">
      <c r="A927" s="95"/>
      <c r="B927" s="95"/>
      <c r="C927" s="95"/>
      <c r="D927" s="95"/>
      <c r="E927" s="95"/>
      <c r="F927" s="95"/>
      <c r="G927" s="95"/>
      <c r="H927" s="95"/>
      <c r="I927" s="95"/>
      <c r="J927" s="95"/>
    </row>
    <row r="928" spans="1:10" ht="15" x14ac:dyDescent="0.2">
      <c r="A928" s="75" t="s">
        <v>294</v>
      </c>
      <c r="B928" s="17" t="s">
        <v>11</v>
      </c>
      <c r="C928" s="75" t="s">
        <v>12</v>
      </c>
      <c r="D928" s="75" t="s">
        <v>2</v>
      </c>
      <c r="E928" s="124" t="s">
        <v>779</v>
      </c>
      <c r="F928" s="124"/>
      <c r="G928" s="76" t="s">
        <v>3</v>
      </c>
      <c r="H928" s="17" t="s">
        <v>4</v>
      </c>
      <c r="I928" s="17" t="s">
        <v>13</v>
      </c>
      <c r="J928" s="17" t="s">
        <v>17</v>
      </c>
    </row>
    <row r="929" spans="1:10" ht="25.5" x14ac:dyDescent="0.2">
      <c r="A929" s="19" t="s">
        <v>780</v>
      </c>
      <c r="B929" s="20" t="s">
        <v>295</v>
      </c>
      <c r="C929" s="19" t="s">
        <v>275</v>
      </c>
      <c r="D929" s="19" t="s">
        <v>296</v>
      </c>
      <c r="E929" s="125" t="s">
        <v>1123</v>
      </c>
      <c r="F929" s="125"/>
      <c r="G929" s="21" t="s">
        <v>32</v>
      </c>
      <c r="H929" s="86">
        <v>1</v>
      </c>
      <c r="I929" s="82">
        <v>243.32</v>
      </c>
      <c r="J929" s="82">
        <v>243.32</v>
      </c>
    </row>
    <row r="930" spans="1:10" ht="25.5" x14ac:dyDescent="0.2">
      <c r="A930" s="87" t="s">
        <v>781</v>
      </c>
      <c r="B930" s="88" t="s">
        <v>1124</v>
      </c>
      <c r="C930" s="87" t="s">
        <v>275</v>
      </c>
      <c r="D930" s="87" t="s">
        <v>1125</v>
      </c>
      <c r="E930" s="126" t="s">
        <v>794</v>
      </c>
      <c r="F930" s="126"/>
      <c r="G930" s="89" t="s">
        <v>1126</v>
      </c>
      <c r="H930" s="90">
        <v>1</v>
      </c>
      <c r="I930" s="91">
        <v>234.08</v>
      </c>
      <c r="J930" s="91">
        <v>234.08</v>
      </c>
    </row>
    <row r="931" spans="1:10" x14ac:dyDescent="0.2">
      <c r="A931" s="87" t="s">
        <v>781</v>
      </c>
      <c r="B931" s="88" t="s">
        <v>1127</v>
      </c>
      <c r="C931" s="87" t="s">
        <v>275</v>
      </c>
      <c r="D931" s="87" t="s">
        <v>1128</v>
      </c>
      <c r="E931" s="126" t="s">
        <v>784</v>
      </c>
      <c r="F931" s="126"/>
      <c r="G931" s="89" t="s">
        <v>785</v>
      </c>
      <c r="H931" s="90">
        <v>0.35</v>
      </c>
      <c r="I931" s="91">
        <v>26.400400000000001</v>
      </c>
      <c r="J931" s="91">
        <v>9.24</v>
      </c>
    </row>
    <row r="932" spans="1:10" ht="38.25" x14ac:dyDescent="0.2">
      <c r="A932" s="92"/>
      <c r="B932" s="92"/>
      <c r="C932" s="92"/>
      <c r="D932" s="92"/>
      <c r="E932" s="92" t="s">
        <v>801</v>
      </c>
      <c r="F932" s="93">
        <v>9.24</v>
      </c>
      <c r="G932" s="92" t="s">
        <v>802</v>
      </c>
      <c r="H932" s="93">
        <v>0</v>
      </c>
      <c r="I932" s="92" t="s">
        <v>803</v>
      </c>
      <c r="J932" s="93">
        <v>9.24</v>
      </c>
    </row>
    <row r="933" spans="1:10" ht="38.25" x14ac:dyDescent="0.2">
      <c r="A933" s="92"/>
      <c r="B933" s="92"/>
      <c r="C933" s="92"/>
      <c r="D933" s="92"/>
      <c r="E933" s="92" t="s">
        <v>804</v>
      </c>
      <c r="F933" s="93">
        <v>70.12</v>
      </c>
      <c r="G933" s="92"/>
      <c r="H933" s="127" t="s">
        <v>805</v>
      </c>
      <c r="I933" s="127"/>
      <c r="J933" s="93">
        <v>313.44</v>
      </c>
    </row>
    <row r="934" spans="1:10" ht="15" thickBot="1" x14ac:dyDescent="0.25">
      <c r="A934" s="77"/>
      <c r="B934" s="77"/>
      <c r="C934" s="77"/>
      <c r="D934" s="77"/>
      <c r="E934" s="77"/>
      <c r="F934" s="77"/>
      <c r="G934" s="77" t="s">
        <v>806</v>
      </c>
      <c r="H934" s="94">
        <v>1</v>
      </c>
      <c r="I934" s="77" t="s">
        <v>807</v>
      </c>
      <c r="J934" s="78">
        <v>313.44</v>
      </c>
    </row>
    <row r="935" spans="1:10" ht="15" thickTop="1" x14ac:dyDescent="0.2">
      <c r="A935" s="95"/>
      <c r="B935" s="95"/>
      <c r="C935" s="95"/>
      <c r="D935" s="95"/>
      <c r="E935" s="95"/>
      <c r="F935" s="95"/>
      <c r="G935" s="95"/>
      <c r="H935" s="95"/>
      <c r="I935" s="95"/>
      <c r="J935" s="95"/>
    </row>
    <row r="936" spans="1:10" ht="15" x14ac:dyDescent="0.2">
      <c r="A936" s="75" t="s">
        <v>297</v>
      </c>
      <c r="B936" s="17" t="s">
        <v>11</v>
      </c>
      <c r="C936" s="75" t="s">
        <v>12</v>
      </c>
      <c r="D936" s="75" t="s">
        <v>2</v>
      </c>
      <c r="E936" s="124" t="s">
        <v>779</v>
      </c>
      <c r="F936" s="124"/>
      <c r="G936" s="76" t="s">
        <v>3</v>
      </c>
      <c r="H936" s="17" t="s">
        <v>4</v>
      </c>
      <c r="I936" s="17" t="s">
        <v>13</v>
      </c>
      <c r="J936" s="17" t="s">
        <v>17</v>
      </c>
    </row>
    <row r="937" spans="1:10" ht="25.5" x14ac:dyDescent="0.2">
      <c r="A937" s="19" t="s">
        <v>780</v>
      </c>
      <c r="B937" s="20" t="s">
        <v>299</v>
      </c>
      <c r="C937" s="19" t="s">
        <v>15</v>
      </c>
      <c r="D937" s="19" t="s">
        <v>300</v>
      </c>
      <c r="E937" s="125">
        <v>44.03</v>
      </c>
      <c r="F937" s="125"/>
      <c r="G937" s="21" t="s">
        <v>32</v>
      </c>
      <c r="H937" s="86">
        <v>1</v>
      </c>
      <c r="I937" s="82">
        <v>74.459999999999994</v>
      </c>
      <c r="J937" s="82">
        <v>74.459999999999994</v>
      </c>
    </row>
    <row r="938" spans="1:10" ht="38.25" x14ac:dyDescent="0.2">
      <c r="A938" s="87" t="s">
        <v>781</v>
      </c>
      <c r="B938" s="88" t="s">
        <v>832</v>
      </c>
      <c r="C938" s="87" t="s">
        <v>15</v>
      </c>
      <c r="D938" s="87" t="s">
        <v>833</v>
      </c>
      <c r="E938" s="126" t="s">
        <v>784</v>
      </c>
      <c r="F938" s="126"/>
      <c r="G938" s="89" t="s">
        <v>785</v>
      </c>
      <c r="H938" s="90">
        <v>0.25</v>
      </c>
      <c r="I938" s="91">
        <v>22.61</v>
      </c>
      <c r="J938" s="91">
        <v>5.65</v>
      </c>
    </row>
    <row r="939" spans="1:10" ht="38.25" x14ac:dyDescent="0.2">
      <c r="A939" s="87" t="s">
        <v>781</v>
      </c>
      <c r="B939" s="88" t="s">
        <v>1129</v>
      </c>
      <c r="C939" s="87" t="s">
        <v>15</v>
      </c>
      <c r="D939" s="87" t="s">
        <v>1130</v>
      </c>
      <c r="E939" s="126" t="s">
        <v>794</v>
      </c>
      <c r="F939" s="126"/>
      <c r="G939" s="89" t="s">
        <v>32</v>
      </c>
      <c r="H939" s="90">
        <v>1</v>
      </c>
      <c r="I939" s="91">
        <v>68.81</v>
      </c>
      <c r="J939" s="91">
        <v>68.81</v>
      </c>
    </row>
    <row r="940" spans="1:10" ht="38.25" x14ac:dyDescent="0.2">
      <c r="A940" s="92"/>
      <c r="B940" s="92"/>
      <c r="C940" s="92"/>
      <c r="D940" s="92"/>
      <c r="E940" s="92" t="s">
        <v>801</v>
      </c>
      <c r="F940" s="93">
        <v>5.65</v>
      </c>
      <c r="G940" s="92" t="s">
        <v>802</v>
      </c>
      <c r="H940" s="93">
        <v>0</v>
      </c>
      <c r="I940" s="92" t="s">
        <v>803</v>
      </c>
      <c r="J940" s="93">
        <v>5.65</v>
      </c>
    </row>
    <row r="941" spans="1:10" ht="38.25" x14ac:dyDescent="0.2">
      <c r="A941" s="92"/>
      <c r="B941" s="92"/>
      <c r="C941" s="92"/>
      <c r="D941" s="92"/>
      <c r="E941" s="92" t="s">
        <v>804</v>
      </c>
      <c r="F941" s="93">
        <v>21.45</v>
      </c>
      <c r="G941" s="92"/>
      <c r="H941" s="127" t="s">
        <v>805</v>
      </c>
      <c r="I941" s="127"/>
      <c r="J941" s="93">
        <v>95.91</v>
      </c>
    </row>
    <row r="942" spans="1:10" ht="15" thickBot="1" x14ac:dyDescent="0.25">
      <c r="A942" s="77"/>
      <c r="B942" s="77"/>
      <c r="C942" s="77"/>
      <c r="D942" s="77"/>
      <c r="E942" s="77"/>
      <c r="F942" s="77"/>
      <c r="G942" s="77" t="s">
        <v>806</v>
      </c>
      <c r="H942" s="94">
        <v>1</v>
      </c>
      <c r="I942" s="77" t="s">
        <v>807</v>
      </c>
      <c r="J942" s="78">
        <v>95.91</v>
      </c>
    </row>
    <row r="943" spans="1:10" ht="15" thickTop="1" x14ac:dyDescent="0.2">
      <c r="A943" s="95"/>
      <c r="B943" s="95"/>
      <c r="C943" s="95"/>
      <c r="D943" s="95"/>
      <c r="E943" s="95"/>
      <c r="F943" s="95"/>
      <c r="G943" s="95"/>
      <c r="H943" s="95"/>
      <c r="I943" s="95"/>
      <c r="J943" s="95"/>
    </row>
    <row r="944" spans="1:10" ht="15" x14ac:dyDescent="0.2">
      <c r="A944" s="75" t="s">
        <v>298</v>
      </c>
      <c r="B944" s="17" t="s">
        <v>11</v>
      </c>
      <c r="C944" s="75" t="s">
        <v>12</v>
      </c>
      <c r="D944" s="75" t="s">
        <v>2</v>
      </c>
      <c r="E944" s="124" t="s">
        <v>779</v>
      </c>
      <c r="F944" s="124"/>
      <c r="G944" s="76" t="s">
        <v>3</v>
      </c>
      <c r="H944" s="17" t="s">
        <v>4</v>
      </c>
      <c r="I944" s="17" t="s">
        <v>13</v>
      </c>
      <c r="J944" s="17" t="s">
        <v>17</v>
      </c>
    </row>
    <row r="945" spans="1:10" ht="25.5" x14ac:dyDescent="0.2">
      <c r="A945" s="19" t="s">
        <v>780</v>
      </c>
      <c r="B945" s="20" t="s">
        <v>302</v>
      </c>
      <c r="C945" s="19" t="s">
        <v>15</v>
      </c>
      <c r="D945" s="19" t="s">
        <v>303</v>
      </c>
      <c r="E945" s="125">
        <v>44.02</v>
      </c>
      <c r="F945" s="125"/>
      <c r="G945" s="21" t="s">
        <v>5</v>
      </c>
      <c r="H945" s="86">
        <v>1</v>
      </c>
      <c r="I945" s="82">
        <v>977.96</v>
      </c>
      <c r="J945" s="82">
        <v>977.96</v>
      </c>
    </row>
    <row r="946" spans="1:10" ht="38.25" x14ac:dyDescent="0.2">
      <c r="A946" s="87" t="s">
        <v>781</v>
      </c>
      <c r="B946" s="88" t="s">
        <v>1131</v>
      </c>
      <c r="C946" s="87" t="s">
        <v>15</v>
      </c>
      <c r="D946" s="87" t="s">
        <v>1132</v>
      </c>
      <c r="E946" s="126" t="s">
        <v>784</v>
      </c>
      <c r="F946" s="126"/>
      <c r="G946" s="89" t="s">
        <v>785</v>
      </c>
      <c r="H946" s="90">
        <v>1.8688</v>
      </c>
      <c r="I946" s="91">
        <v>27.08</v>
      </c>
      <c r="J946" s="91">
        <v>50.6</v>
      </c>
    </row>
    <row r="947" spans="1:10" ht="38.25" x14ac:dyDescent="0.2">
      <c r="A947" s="87" t="s">
        <v>781</v>
      </c>
      <c r="B947" s="88" t="s">
        <v>816</v>
      </c>
      <c r="C947" s="87" t="s">
        <v>15</v>
      </c>
      <c r="D947" s="87" t="s">
        <v>817</v>
      </c>
      <c r="E947" s="126" t="s">
        <v>784</v>
      </c>
      <c r="F947" s="126"/>
      <c r="G947" s="89" t="s">
        <v>785</v>
      </c>
      <c r="H947" s="90">
        <v>1.3375999999999999</v>
      </c>
      <c r="I947" s="91">
        <v>18.57</v>
      </c>
      <c r="J947" s="91">
        <v>24.83</v>
      </c>
    </row>
    <row r="948" spans="1:10" ht="38.25" x14ac:dyDescent="0.2">
      <c r="A948" s="87" t="s">
        <v>781</v>
      </c>
      <c r="B948" s="88" t="s">
        <v>1133</v>
      </c>
      <c r="C948" s="87" t="s">
        <v>15</v>
      </c>
      <c r="D948" s="87" t="s">
        <v>1134</v>
      </c>
      <c r="E948" s="126" t="s">
        <v>794</v>
      </c>
      <c r="F948" s="126"/>
      <c r="G948" s="89" t="s">
        <v>134</v>
      </c>
      <c r="H948" s="90">
        <v>3.9300000000000002E-2</v>
      </c>
      <c r="I948" s="91">
        <v>3.85</v>
      </c>
      <c r="J948" s="91">
        <v>0.15</v>
      </c>
    </row>
    <row r="949" spans="1:10" ht="38.25" x14ac:dyDescent="0.2">
      <c r="A949" s="87" t="s">
        <v>781</v>
      </c>
      <c r="B949" s="88" t="s">
        <v>1135</v>
      </c>
      <c r="C949" s="87" t="s">
        <v>15</v>
      </c>
      <c r="D949" s="87" t="s">
        <v>1136</v>
      </c>
      <c r="E949" s="126" t="s">
        <v>794</v>
      </c>
      <c r="F949" s="126"/>
      <c r="G949" s="89" t="s">
        <v>134</v>
      </c>
      <c r="H949" s="90">
        <v>0.58650000000000002</v>
      </c>
      <c r="I949" s="91">
        <v>41.33</v>
      </c>
      <c r="J949" s="91">
        <v>24.24</v>
      </c>
    </row>
    <row r="950" spans="1:10" ht="38.25" x14ac:dyDescent="0.2">
      <c r="A950" s="87" t="s">
        <v>781</v>
      </c>
      <c r="B950" s="88" t="s">
        <v>1137</v>
      </c>
      <c r="C950" s="87" t="s">
        <v>15</v>
      </c>
      <c r="D950" s="87" t="s">
        <v>1138</v>
      </c>
      <c r="E950" s="126" t="s">
        <v>794</v>
      </c>
      <c r="F950" s="126"/>
      <c r="G950" s="89" t="s">
        <v>5</v>
      </c>
      <c r="H950" s="90">
        <v>1.0049999999999999</v>
      </c>
      <c r="I950" s="91">
        <v>873.78</v>
      </c>
      <c r="J950" s="91">
        <v>878.14</v>
      </c>
    </row>
    <row r="951" spans="1:10" ht="38.25" x14ac:dyDescent="0.2">
      <c r="A951" s="92"/>
      <c r="B951" s="92"/>
      <c r="C951" s="92"/>
      <c r="D951" s="92"/>
      <c r="E951" s="92" t="s">
        <v>801</v>
      </c>
      <c r="F951" s="93">
        <v>75.430000000000007</v>
      </c>
      <c r="G951" s="92" t="s">
        <v>802</v>
      </c>
      <c r="H951" s="93">
        <v>0</v>
      </c>
      <c r="I951" s="92" t="s">
        <v>803</v>
      </c>
      <c r="J951" s="93">
        <v>75.430000000000007</v>
      </c>
    </row>
    <row r="952" spans="1:10" ht="38.25" x14ac:dyDescent="0.2">
      <c r="A952" s="92"/>
      <c r="B952" s="92"/>
      <c r="C952" s="92"/>
      <c r="D952" s="92"/>
      <c r="E952" s="92" t="s">
        <v>804</v>
      </c>
      <c r="F952" s="93">
        <v>281.83999999999997</v>
      </c>
      <c r="G952" s="92"/>
      <c r="H952" s="127" t="s">
        <v>805</v>
      </c>
      <c r="I952" s="127"/>
      <c r="J952" s="93">
        <v>1259.8</v>
      </c>
    </row>
    <row r="953" spans="1:10" ht="15" thickBot="1" x14ac:dyDescent="0.25">
      <c r="A953" s="77"/>
      <c r="B953" s="77"/>
      <c r="C953" s="77"/>
      <c r="D953" s="77"/>
      <c r="E953" s="77"/>
      <c r="F953" s="77"/>
      <c r="G953" s="77" t="s">
        <v>806</v>
      </c>
      <c r="H953" s="94">
        <v>0.66</v>
      </c>
      <c r="I953" s="77" t="s">
        <v>807</v>
      </c>
      <c r="J953" s="78">
        <v>831.46</v>
      </c>
    </row>
    <row r="954" spans="1:10" ht="15" thickTop="1" x14ac:dyDescent="0.2">
      <c r="A954" s="95"/>
      <c r="B954" s="95"/>
      <c r="C954" s="95"/>
      <c r="D954" s="95"/>
      <c r="E954" s="95"/>
      <c r="F954" s="95"/>
      <c r="G954" s="95"/>
      <c r="H954" s="95"/>
      <c r="I954" s="95"/>
      <c r="J954" s="95"/>
    </row>
    <row r="955" spans="1:10" ht="15" x14ac:dyDescent="0.2">
      <c r="A955" s="75" t="s">
        <v>301</v>
      </c>
      <c r="B955" s="17" t="s">
        <v>11</v>
      </c>
      <c r="C955" s="75" t="s">
        <v>12</v>
      </c>
      <c r="D955" s="75" t="s">
        <v>2</v>
      </c>
      <c r="E955" s="124" t="s">
        <v>779</v>
      </c>
      <c r="F955" s="124"/>
      <c r="G955" s="76" t="s">
        <v>3</v>
      </c>
      <c r="H955" s="17" t="s">
        <v>4</v>
      </c>
      <c r="I955" s="17" t="s">
        <v>13</v>
      </c>
      <c r="J955" s="17" t="s">
        <v>17</v>
      </c>
    </row>
    <row r="956" spans="1:10" ht="25.5" x14ac:dyDescent="0.2">
      <c r="A956" s="19" t="s">
        <v>780</v>
      </c>
      <c r="B956" s="20" t="s">
        <v>684</v>
      </c>
      <c r="C956" s="19" t="s">
        <v>15</v>
      </c>
      <c r="D956" s="19" t="s">
        <v>685</v>
      </c>
      <c r="E956" s="125">
        <v>44.06</v>
      </c>
      <c r="F956" s="125"/>
      <c r="G956" s="21" t="s">
        <v>32</v>
      </c>
      <c r="H956" s="86">
        <v>1</v>
      </c>
      <c r="I956" s="82">
        <v>640.4</v>
      </c>
      <c r="J956" s="82">
        <v>640.4</v>
      </c>
    </row>
    <row r="957" spans="1:10" ht="38.25" x14ac:dyDescent="0.2">
      <c r="A957" s="87" t="s">
        <v>781</v>
      </c>
      <c r="B957" s="88" t="s">
        <v>960</v>
      </c>
      <c r="C957" s="87" t="s">
        <v>15</v>
      </c>
      <c r="D957" s="87" t="s">
        <v>961</v>
      </c>
      <c r="E957" s="126" t="s">
        <v>784</v>
      </c>
      <c r="F957" s="126"/>
      <c r="G957" s="89" t="s">
        <v>785</v>
      </c>
      <c r="H957" s="90">
        <v>0.5</v>
      </c>
      <c r="I957" s="91">
        <v>18.57</v>
      </c>
      <c r="J957" s="91">
        <v>9.2799999999999994</v>
      </c>
    </row>
    <row r="958" spans="1:10" ht="38.25" x14ac:dyDescent="0.2">
      <c r="A958" s="87" t="s">
        <v>781</v>
      </c>
      <c r="B958" s="88" t="s">
        <v>962</v>
      </c>
      <c r="C958" s="87" t="s">
        <v>15</v>
      </c>
      <c r="D958" s="87" t="s">
        <v>963</v>
      </c>
      <c r="E958" s="126" t="s">
        <v>784</v>
      </c>
      <c r="F958" s="126"/>
      <c r="G958" s="89" t="s">
        <v>785</v>
      </c>
      <c r="H958" s="90">
        <v>0.5</v>
      </c>
      <c r="I958" s="91">
        <v>27.08</v>
      </c>
      <c r="J958" s="91">
        <v>13.54</v>
      </c>
    </row>
    <row r="959" spans="1:10" ht="38.25" x14ac:dyDescent="0.2">
      <c r="A959" s="87" t="s">
        <v>781</v>
      </c>
      <c r="B959" s="88" t="s">
        <v>1135</v>
      </c>
      <c r="C959" s="87" t="s">
        <v>15</v>
      </c>
      <c r="D959" s="87" t="s">
        <v>1136</v>
      </c>
      <c r="E959" s="126" t="s">
        <v>794</v>
      </c>
      <c r="F959" s="126"/>
      <c r="G959" s="89" t="s">
        <v>134</v>
      </c>
      <c r="H959" s="90">
        <v>0.5</v>
      </c>
      <c r="I959" s="91">
        <v>41.33</v>
      </c>
      <c r="J959" s="91">
        <v>20.66</v>
      </c>
    </row>
    <row r="960" spans="1:10" ht="38.25" x14ac:dyDescent="0.2">
      <c r="A960" s="87" t="s">
        <v>781</v>
      </c>
      <c r="B960" s="88" t="s">
        <v>1139</v>
      </c>
      <c r="C960" s="87" t="s">
        <v>15</v>
      </c>
      <c r="D960" s="87" t="s">
        <v>1140</v>
      </c>
      <c r="E960" s="126" t="s">
        <v>794</v>
      </c>
      <c r="F960" s="126"/>
      <c r="G960" s="89" t="s">
        <v>32</v>
      </c>
      <c r="H960" s="90">
        <v>1</v>
      </c>
      <c r="I960" s="91">
        <v>596.91999999999996</v>
      </c>
      <c r="J960" s="91">
        <v>596.91999999999996</v>
      </c>
    </row>
    <row r="961" spans="1:10" ht="38.25" x14ac:dyDescent="0.2">
      <c r="A961" s="92"/>
      <c r="B961" s="92"/>
      <c r="C961" s="92"/>
      <c r="D961" s="92"/>
      <c r="E961" s="92" t="s">
        <v>801</v>
      </c>
      <c r="F961" s="93">
        <v>22.82</v>
      </c>
      <c r="G961" s="92" t="s">
        <v>802</v>
      </c>
      <c r="H961" s="93">
        <v>0</v>
      </c>
      <c r="I961" s="92" t="s">
        <v>803</v>
      </c>
      <c r="J961" s="93">
        <v>22.82</v>
      </c>
    </row>
    <row r="962" spans="1:10" ht="38.25" x14ac:dyDescent="0.2">
      <c r="A962" s="92"/>
      <c r="B962" s="92"/>
      <c r="C962" s="92"/>
      <c r="D962" s="92"/>
      <c r="E962" s="92" t="s">
        <v>804</v>
      </c>
      <c r="F962" s="93">
        <v>184.56</v>
      </c>
      <c r="G962" s="92"/>
      <c r="H962" s="127" t="s">
        <v>805</v>
      </c>
      <c r="I962" s="127"/>
      <c r="J962" s="93">
        <v>824.96</v>
      </c>
    </row>
    <row r="963" spans="1:10" ht="15" thickBot="1" x14ac:dyDescent="0.25">
      <c r="A963" s="77"/>
      <c r="B963" s="77"/>
      <c r="C963" s="77"/>
      <c r="D963" s="77"/>
      <c r="E963" s="77"/>
      <c r="F963" s="77"/>
      <c r="G963" s="77" t="s">
        <v>806</v>
      </c>
      <c r="H963" s="94">
        <v>1</v>
      </c>
      <c r="I963" s="77" t="s">
        <v>807</v>
      </c>
      <c r="J963" s="78">
        <v>824.96</v>
      </c>
    </row>
    <row r="964" spans="1:10" ht="15" thickTop="1" x14ac:dyDescent="0.2">
      <c r="A964" s="95"/>
      <c r="B964" s="95"/>
      <c r="C964" s="95"/>
      <c r="D964" s="95"/>
      <c r="E964" s="95"/>
      <c r="F964" s="95"/>
      <c r="G964" s="95"/>
      <c r="H964" s="95"/>
      <c r="I964" s="95"/>
      <c r="J964" s="95"/>
    </row>
    <row r="965" spans="1:10" ht="15" x14ac:dyDescent="0.2">
      <c r="A965" s="75" t="s">
        <v>304</v>
      </c>
      <c r="B965" s="17" t="s">
        <v>11</v>
      </c>
      <c r="C965" s="75" t="s">
        <v>12</v>
      </c>
      <c r="D965" s="75" t="s">
        <v>2</v>
      </c>
      <c r="E965" s="124" t="s">
        <v>779</v>
      </c>
      <c r="F965" s="124"/>
      <c r="G965" s="76" t="s">
        <v>3</v>
      </c>
      <c r="H965" s="17" t="s">
        <v>4</v>
      </c>
      <c r="I965" s="17" t="s">
        <v>13</v>
      </c>
      <c r="J965" s="17" t="s">
        <v>17</v>
      </c>
    </row>
    <row r="966" spans="1:10" ht="25.5" x14ac:dyDescent="0.2">
      <c r="A966" s="19" t="s">
        <v>780</v>
      </c>
      <c r="B966" s="20" t="s">
        <v>306</v>
      </c>
      <c r="C966" s="19" t="s">
        <v>15</v>
      </c>
      <c r="D966" s="19" t="s">
        <v>307</v>
      </c>
      <c r="E966" s="125">
        <v>44.03</v>
      </c>
      <c r="F966" s="125"/>
      <c r="G966" s="21" t="s">
        <v>32</v>
      </c>
      <c r="H966" s="86">
        <v>1</v>
      </c>
      <c r="I966" s="82">
        <v>199.84</v>
      </c>
      <c r="J966" s="82">
        <v>199.84</v>
      </c>
    </row>
    <row r="967" spans="1:10" ht="38.25" x14ac:dyDescent="0.2">
      <c r="A967" s="87" t="s">
        <v>781</v>
      </c>
      <c r="B967" s="88" t="s">
        <v>962</v>
      </c>
      <c r="C967" s="87" t="s">
        <v>15</v>
      </c>
      <c r="D967" s="87" t="s">
        <v>963</v>
      </c>
      <c r="E967" s="126" t="s">
        <v>784</v>
      </c>
      <c r="F967" s="126"/>
      <c r="G967" s="89" t="s">
        <v>785</v>
      </c>
      <c r="H967" s="90">
        <v>0.3</v>
      </c>
      <c r="I967" s="91">
        <v>27.08</v>
      </c>
      <c r="J967" s="91">
        <v>8.1199999999999992</v>
      </c>
    </row>
    <row r="968" spans="1:10" ht="38.25" x14ac:dyDescent="0.2">
      <c r="A968" s="87" t="s">
        <v>781</v>
      </c>
      <c r="B968" s="88" t="s">
        <v>960</v>
      </c>
      <c r="C968" s="87" t="s">
        <v>15</v>
      </c>
      <c r="D968" s="87" t="s">
        <v>961</v>
      </c>
      <c r="E968" s="126" t="s">
        <v>784</v>
      </c>
      <c r="F968" s="126"/>
      <c r="G968" s="89" t="s">
        <v>785</v>
      </c>
      <c r="H968" s="90">
        <v>0.5</v>
      </c>
      <c r="I968" s="91">
        <v>18.57</v>
      </c>
      <c r="J968" s="91">
        <v>9.2799999999999994</v>
      </c>
    </row>
    <row r="969" spans="1:10" ht="38.25" x14ac:dyDescent="0.2">
      <c r="A969" s="87" t="s">
        <v>781</v>
      </c>
      <c r="B969" s="88" t="s">
        <v>1011</v>
      </c>
      <c r="C969" s="87" t="s">
        <v>15</v>
      </c>
      <c r="D969" s="87" t="s">
        <v>1012</v>
      </c>
      <c r="E969" s="126" t="s">
        <v>794</v>
      </c>
      <c r="F969" s="126"/>
      <c r="G969" s="89" t="s">
        <v>78</v>
      </c>
      <c r="H969" s="90">
        <v>0.28000000000000003</v>
      </c>
      <c r="I969" s="91">
        <v>0.19</v>
      </c>
      <c r="J969" s="91">
        <v>0.05</v>
      </c>
    </row>
    <row r="970" spans="1:10" ht="38.25" x14ac:dyDescent="0.2">
      <c r="A970" s="87" t="s">
        <v>781</v>
      </c>
      <c r="B970" s="88" t="s">
        <v>1141</v>
      </c>
      <c r="C970" s="87" t="s">
        <v>15</v>
      </c>
      <c r="D970" s="87" t="s">
        <v>1142</v>
      </c>
      <c r="E970" s="126" t="s">
        <v>794</v>
      </c>
      <c r="F970" s="126"/>
      <c r="G970" s="89" t="s">
        <v>32</v>
      </c>
      <c r="H970" s="90">
        <v>1</v>
      </c>
      <c r="I970" s="91">
        <v>182.39</v>
      </c>
      <c r="J970" s="91">
        <v>182.39</v>
      </c>
    </row>
    <row r="971" spans="1:10" ht="38.25" x14ac:dyDescent="0.2">
      <c r="A971" s="92"/>
      <c r="B971" s="92"/>
      <c r="C971" s="92"/>
      <c r="D971" s="92"/>
      <c r="E971" s="92" t="s">
        <v>801</v>
      </c>
      <c r="F971" s="93">
        <v>17.399999999999999</v>
      </c>
      <c r="G971" s="92" t="s">
        <v>802</v>
      </c>
      <c r="H971" s="93">
        <v>0</v>
      </c>
      <c r="I971" s="92" t="s">
        <v>803</v>
      </c>
      <c r="J971" s="93">
        <v>17.399999999999999</v>
      </c>
    </row>
    <row r="972" spans="1:10" ht="38.25" x14ac:dyDescent="0.2">
      <c r="A972" s="92"/>
      <c r="B972" s="92"/>
      <c r="C972" s="92"/>
      <c r="D972" s="92"/>
      <c r="E972" s="92" t="s">
        <v>804</v>
      </c>
      <c r="F972" s="93">
        <v>57.59</v>
      </c>
      <c r="G972" s="92"/>
      <c r="H972" s="127" t="s">
        <v>805</v>
      </c>
      <c r="I972" s="127"/>
      <c r="J972" s="93">
        <v>257.43</v>
      </c>
    </row>
    <row r="973" spans="1:10" ht="15" thickBot="1" x14ac:dyDescent="0.25">
      <c r="A973" s="77"/>
      <c r="B973" s="77"/>
      <c r="C973" s="77"/>
      <c r="D973" s="77"/>
      <c r="E973" s="77"/>
      <c r="F973" s="77"/>
      <c r="G973" s="77" t="s">
        <v>806</v>
      </c>
      <c r="H973" s="94">
        <v>1</v>
      </c>
      <c r="I973" s="77" t="s">
        <v>807</v>
      </c>
      <c r="J973" s="78">
        <v>257.43</v>
      </c>
    </row>
    <row r="974" spans="1:10" ht="15" thickTop="1" x14ac:dyDescent="0.2">
      <c r="A974" s="95"/>
      <c r="B974" s="95"/>
      <c r="C974" s="95"/>
      <c r="D974" s="95"/>
      <c r="E974" s="95"/>
      <c r="F974" s="95"/>
      <c r="G974" s="95"/>
      <c r="H974" s="95"/>
      <c r="I974" s="95"/>
      <c r="J974" s="95"/>
    </row>
    <row r="975" spans="1:10" ht="15" x14ac:dyDescent="0.2">
      <c r="A975" s="75" t="s">
        <v>305</v>
      </c>
      <c r="B975" s="17" t="s">
        <v>11</v>
      </c>
      <c r="C975" s="75" t="s">
        <v>12</v>
      </c>
      <c r="D975" s="75" t="s">
        <v>2</v>
      </c>
      <c r="E975" s="124" t="s">
        <v>779</v>
      </c>
      <c r="F975" s="124"/>
      <c r="G975" s="76" t="s">
        <v>3</v>
      </c>
      <c r="H975" s="17" t="s">
        <v>4</v>
      </c>
      <c r="I975" s="17" t="s">
        <v>13</v>
      </c>
      <c r="J975" s="17" t="s">
        <v>17</v>
      </c>
    </row>
    <row r="976" spans="1:10" ht="25.5" x14ac:dyDescent="0.2">
      <c r="A976" s="19" t="s">
        <v>780</v>
      </c>
      <c r="B976" s="20" t="s">
        <v>308</v>
      </c>
      <c r="C976" s="19" t="s">
        <v>15</v>
      </c>
      <c r="D976" s="19" t="s">
        <v>309</v>
      </c>
      <c r="E976" s="125">
        <v>44.03</v>
      </c>
      <c r="F976" s="125"/>
      <c r="G976" s="21" t="s">
        <v>32</v>
      </c>
      <c r="H976" s="86">
        <v>1</v>
      </c>
      <c r="I976" s="82">
        <v>57.43</v>
      </c>
      <c r="J976" s="82">
        <v>57.43</v>
      </c>
    </row>
    <row r="977" spans="1:10" ht="38.25" x14ac:dyDescent="0.2">
      <c r="A977" s="87" t="s">
        <v>781</v>
      </c>
      <c r="B977" s="88" t="s">
        <v>962</v>
      </c>
      <c r="C977" s="87" t="s">
        <v>15</v>
      </c>
      <c r="D977" s="87" t="s">
        <v>963</v>
      </c>
      <c r="E977" s="126" t="s">
        <v>784</v>
      </c>
      <c r="F977" s="126"/>
      <c r="G977" s="89" t="s">
        <v>785</v>
      </c>
      <c r="H977" s="90">
        <v>0.25</v>
      </c>
      <c r="I977" s="91">
        <v>27.08</v>
      </c>
      <c r="J977" s="91">
        <v>6.77</v>
      </c>
    </row>
    <row r="978" spans="1:10" ht="38.25" x14ac:dyDescent="0.2">
      <c r="A978" s="87" t="s">
        <v>781</v>
      </c>
      <c r="B978" s="88" t="s">
        <v>960</v>
      </c>
      <c r="C978" s="87" t="s">
        <v>15</v>
      </c>
      <c r="D978" s="87" t="s">
        <v>961</v>
      </c>
      <c r="E978" s="126" t="s">
        <v>784</v>
      </c>
      <c r="F978" s="126"/>
      <c r="G978" s="89" t="s">
        <v>785</v>
      </c>
      <c r="H978" s="90">
        <v>0.5</v>
      </c>
      <c r="I978" s="91">
        <v>18.57</v>
      </c>
      <c r="J978" s="91">
        <v>9.2799999999999994</v>
      </c>
    </row>
    <row r="979" spans="1:10" ht="38.25" x14ac:dyDescent="0.2">
      <c r="A979" s="87" t="s">
        <v>781</v>
      </c>
      <c r="B979" s="88" t="s">
        <v>1011</v>
      </c>
      <c r="C979" s="87" t="s">
        <v>15</v>
      </c>
      <c r="D979" s="87" t="s">
        <v>1012</v>
      </c>
      <c r="E979" s="126" t="s">
        <v>794</v>
      </c>
      <c r="F979" s="126"/>
      <c r="G979" s="89" t="s">
        <v>78</v>
      </c>
      <c r="H979" s="90">
        <v>0.28000000000000003</v>
      </c>
      <c r="I979" s="91">
        <v>0.19</v>
      </c>
      <c r="J979" s="91">
        <v>0.05</v>
      </c>
    </row>
    <row r="980" spans="1:10" ht="38.25" x14ac:dyDescent="0.2">
      <c r="A980" s="87" t="s">
        <v>781</v>
      </c>
      <c r="B980" s="88" t="s">
        <v>1143</v>
      </c>
      <c r="C980" s="87" t="s">
        <v>15</v>
      </c>
      <c r="D980" s="87" t="s">
        <v>1144</v>
      </c>
      <c r="E980" s="126" t="s">
        <v>794</v>
      </c>
      <c r="F980" s="126"/>
      <c r="G980" s="89" t="s">
        <v>32</v>
      </c>
      <c r="H980" s="90">
        <v>1</v>
      </c>
      <c r="I980" s="91">
        <v>41.33</v>
      </c>
      <c r="J980" s="91">
        <v>41.33</v>
      </c>
    </row>
    <row r="981" spans="1:10" ht="38.25" x14ac:dyDescent="0.2">
      <c r="A981" s="92"/>
      <c r="B981" s="92"/>
      <c r="C981" s="92"/>
      <c r="D981" s="92"/>
      <c r="E981" s="92" t="s">
        <v>801</v>
      </c>
      <c r="F981" s="93">
        <v>16.05</v>
      </c>
      <c r="G981" s="92" t="s">
        <v>802</v>
      </c>
      <c r="H981" s="93">
        <v>0</v>
      </c>
      <c r="I981" s="92" t="s">
        <v>803</v>
      </c>
      <c r="J981" s="93">
        <v>16.05</v>
      </c>
    </row>
    <row r="982" spans="1:10" ht="38.25" x14ac:dyDescent="0.2">
      <c r="A982" s="92"/>
      <c r="B982" s="92"/>
      <c r="C982" s="92"/>
      <c r="D982" s="92"/>
      <c r="E982" s="92" t="s">
        <v>804</v>
      </c>
      <c r="F982" s="93">
        <v>16.55</v>
      </c>
      <c r="G982" s="92"/>
      <c r="H982" s="127" t="s">
        <v>805</v>
      </c>
      <c r="I982" s="127"/>
      <c r="J982" s="93">
        <v>73.98</v>
      </c>
    </row>
    <row r="983" spans="1:10" ht="15" thickBot="1" x14ac:dyDescent="0.25">
      <c r="A983" s="77"/>
      <c r="B983" s="77"/>
      <c r="C983" s="77"/>
      <c r="D983" s="77"/>
      <c r="E983" s="77"/>
      <c r="F983" s="77"/>
      <c r="G983" s="77" t="s">
        <v>806</v>
      </c>
      <c r="H983" s="94">
        <v>1</v>
      </c>
      <c r="I983" s="77" t="s">
        <v>807</v>
      </c>
      <c r="J983" s="78">
        <v>73.98</v>
      </c>
    </row>
    <row r="984" spans="1:10" ht="15" thickTop="1" x14ac:dyDescent="0.2">
      <c r="A984" s="95"/>
      <c r="B984" s="95"/>
      <c r="C984" s="95"/>
      <c r="D984" s="95"/>
      <c r="E984" s="95"/>
      <c r="F984" s="95"/>
      <c r="G984" s="95"/>
      <c r="H984" s="95"/>
      <c r="I984" s="95"/>
      <c r="J984" s="95"/>
    </row>
    <row r="985" spans="1:10" x14ac:dyDescent="0.2">
      <c r="A985" s="18" t="s">
        <v>310</v>
      </c>
      <c r="B985" s="18"/>
      <c r="C985" s="18"/>
      <c r="D985" s="18" t="s">
        <v>311</v>
      </c>
      <c r="E985" s="18"/>
      <c r="F985" s="122"/>
      <c r="G985" s="122"/>
      <c r="H985" s="39"/>
      <c r="I985" s="18"/>
      <c r="J985" s="80">
        <v>423.68</v>
      </c>
    </row>
    <row r="986" spans="1:10" ht="15" x14ac:dyDescent="0.2">
      <c r="A986" s="75" t="s">
        <v>312</v>
      </c>
      <c r="B986" s="17" t="s">
        <v>11</v>
      </c>
      <c r="C986" s="75" t="s">
        <v>12</v>
      </c>
      <c r="D986" s="75" t="s">
        <v>2</v>
      </c>
      <c r="E986" s="124" t="s">
        <v>779</v>
      </c>
      <c r="F986" s="124"/>
      <c r="G986" s="76" t="s">
        <v>3</v>
      </c>
      <c r="H986" s="17" t="s">
        <v>4</v>
      </c>
      <c r="I986" s="17" t="s">
        <v>13</v>
      </c>
      <c r="J986" s="17" t="s">
        <v>17</v>
      </c>
    </row>
    <row r="987" spans="1:10" ht="25.5" x14ac:dyDescent="0.2">
      <c r="A987" s="19" t="s">
        <v>780</v>
      </c>
      <c r="B987" s="20" t="s">
        <v>313</v>
      </c>
      <c r="C987" s="19" t="s">
        <v>31</v>
      </c>
      <c r="D987" s="19" t="s">
        <v>314</v>
      </c>
      <c r="E987" s="125" t="s">
        <v>1145</v>
      </c>
      <c r="F987" s="125"/>
      <c r="G987" s="21" t="s">
        <v>78</v>
      </c>
      <c r="H987" s="86">
        <v>1</v>
      </c>
      <c r="I987" s="82">
        <v>20.56</v>
      </c>
      <c r="J987" s="82">
        <v>20.56</v>
      </c>
    </row>
    <row r="988" spans="1:10" ht="38.25" x14ac:dyDescent="0.2">
      <c r="A988" s="96" t="s">
        <v>880</v>
      </c>
      <c r="B988" s="97" t="s">
        <v>1146</v>
      </c>
      <c r="C988" s="96" t="s">
        <v>31</v>
      </c>
      <c r="D988" s="96" t="s">
        <v>1147</v>
      </c>
      <c r="E988" s="128" t="s">
        <v>890</v>
      </c>
      <c r="F988" s="128"/>
      <c r="G988" s="98" t="s">
        <v>785</v>
      </c>
      <c r="H988" s="99">
        <v>0.25519999999999998</v>
      </c>
      <c r="I988" s="100">
        <v>29.05</v>
      </c>
      <c r="J988" s="100">
        <v>7.41</v>
      </c>
    </row>
    <row r="989" spans="1:10" ht="38.25" x14ac:dyDescent="0.2">
      <c r="A989" s="96" t="s">
        <v>880</v>
      </c>
      <c r="B989" s="97" t="s">
        <v>1119</v>
      </c>
      <c r="C989" s="96" t="s">
        <v>31</v>
      </c>
      <c r="D989" s="96" t="s">
        <v>1120</v>
      </c>
      <c r="E989" s="128" t="s">
        <v>890</v>
      </c>
      <c r="F989" s="128"/>
      <c r="G989" s="98" t="s">
        <v>785</v>
      </c>
      <c r="H989" s="99">
        <v>0.25519999999999998</v>
      </c>
      <c r="I989" s="100">
        <v>34.96</v>
      </c>
      <c r="J989" s="100">
        <v>8.92</v>
      </c>
    </row>
    <row r="990" spans="1:10" x14ac:dyDescent="0.2">
      <c r="A990" s="87" t="s">
        <v>781</v>
      </c>
      <c r="B990" s="88" t="s">
        <v>1148</v>
      </c>
      <c r="C990" s="87" t="s">
        <v>31</v>
      </c>
      <c r="D990" s="87" t="s">
        <v>1149</v>
      </c>
      <c r="E990" s="126" t="s">
        <v>794</v>
      </c>
      <c r="F990" s="126"/>
      <c r="G990" s="89" t="s">
        <v>78</v>
      </c>
      <c r="H990" s="90">
        <v>1.0548999999999999</v>
      </c>
      <c r="I990" s="91">
        <v>3.99</v>
      </c>
      <c r="J990" s="91">
        <v>4.2</v>
      </c>
    </row>
    <row r="991" spans="1:10" x14ac:dyDescent="0.2">
      <c r="A991" s="87" t="s">
        <v>781</v>
      </c>
      <c r="B991" s="88" t="s">
        <v>1150</v>
      </c>
      <c r="C991" s="87" t="s">
        <v>31</v>
      </c>
      <c r="D991" s="87" t="s">
        <v>1151</v>
      </c>
      <c r="E991" s="126" t="s">
        <v>794</v>
      </c>
      <c r="F991" s="126"/>
      <c r="G991" s="89" t="s">
        <v>32</v>
      </c>
      <c r="H991" s="90">
        <v>1.4200000000000001E-2</v>
      </c>
      <c r="I991" s="91">
        <v>2.62</v>
      </c>
      <c r="J991" s="91">
        <v>0.03</v>
      </c>
    </row>
    <row r="992" spans="1:10" ht="38.25" x14ac:dyDescent="0.2">
      <c r="A992" s="92"/>
      <c r="B992" s="92"/>
      <c r="C992" s="92"/>
      <c r="D992" s="92"/>
      <c r="E992" s="92" t="s">
        <v>801</v>
      </c>
      <c r="F992" s="93">
        <v>12.09</v>
      </c>
      <c r="G992" s="92" t="s">
        <v>802</v>
      </c>
      <c r="H992" s="93">
        <v>0</v>
      </c>
      <c r="I992" s="92" t="s">
        <v>803</v>
      </c>
      <c r="J992" s="93">
        <v>12.09</v>
      </c>
    </row>
    <row r="993" spans="1:10" ht="38.25" x14ac:dyDescent="0.2">
      <c r="A993" s="92"/>
      <c r="B993" s="92"/>
      <c r="C993" s="92"/>
      <c r="D993" s="92"/>
      <c r="E993" s="92" t="s">
        <v>804</v>
      </c>
      <c r="F993" s="93">
        <v>5.92</v>
      </c>
      <c r="G993" s="92"/>
      <c r="H993" s="127" t="s">
        <v>805</v>
      </c>
      <c r="I993" s="127"/>
      <c r="J993" s="93">
        <v>26.48</v>
      </c>
    </row>
    <row r="994" spans="1:10" ht="15" thickBot="1" x14ac:dyDescent="0.25">
      <c r="A994" s="77"/>
      <c r="B994" s="77"/>
      <c r="C994" s="77"/>
      <c r="D994" s="77"/>
      <c r="E994" s="77"/>
      <c r="F994" s="77"/>
      <c r="G994" s="77" t="s">
        <v>806</v>
      </c>
      <c r="H994" s="94">
        <v>16</v>
      </c>
      <c r="I994" s="77" t="s">
        <v>807</v>
      </c>
      <c r="J994" s="78">
        <v>423.68</v>
      </c>
    </row>
    <row r="995" spans="1:10" ht="15" thickTop="1" x14ac:dyDescent="0.2">
      <c r="A995" s="95"/>
      <c r="B995" s="95"/>
      <c r="C995" s="95"/>
      <c r="D995" s="95"/>
      <c r="E995" s="95"/>
      <c r="F995" s="95"/>
      <c r="G995" s="95"/>
      <c r="H995" s="95"/>
      <c r="I995" s="95"/>
      <c r="J995" s="95"/>
    </row>
    <row r="996" spans="1:10" x14ac:dyDescent="0.2">
      <c r="A996" s="18" t="s">
        <v>315</v>
      </c>
      <c r="B996" s="18"/>
      <c r="C996" s="18"/>
      <c r="D996" s="18" t="s">
        <v>316</v>
      </c>
      <c r="E996" s="18"/>
      <c r="F996" s="122"/>
      <c r="G996" s="122"/>
      <c r="H996" s="39"/>
      <c r="I996" s="18"/>
      <c r="J996" s="80">
        <v>55338.25</v>
      </c>
    </row>
    <row r="997" spans="1:10" x14ac:dyDescent="0.2">
      <c r="A997" s="18" t="s">
        <v>317</v>
      </c>
      <c r="B997" s="18"/>
      <c r="C997" s="18"/>
      <c r="D997" s="18" t="s">
        <v>318</v>
      </c>
      <c r="E997" s="18"/>
      <c r="F997" s="122"/>
      <c r="G997" s="122"/>
      <c r="H997" s="39"/>
      <c r="I997" s="18"/>
      <c r="J997" s="80">
        <v>13680.91</v>
      </c>
    </row>
    <row r="998" spans="1:10" ht="15" x14ac:dyDescent="0.2">
      <c r="A998" s="75" t="s">
        <v>319</v>
      </c>
      <c r="B998" s="17" t="s">
        <v>11</v>
      </c>
      <c r="C998" s="75" t="s">
        <v>12</v>
      </c>
      <c r="D998" s="75" t="s">
        <v>2</v>
      </c>
      <c r="E998" s="124" t="s">
        <v>779</v>
      </c>
      <c r="F998" s="124"/>
      <c r="G998" s="76" t="s">
        <v>3</v>
      </c>
      <c r="H998" s="17" t="s">
        <v>4</v>
      </c>
      <c r="I998" s="17" t="s">
        <v>13</v>
      </c>
      <c r="J998" s="17" t="s">
        <v>17</v>
      </c>
    </row>
    <row r="999" spans="1:10" ht="25.5" x14ac:dyDescent="0.2">
      <c r="A999" s="19" t="s">
        <v>780</v>
      </c>
      <c r="B999" s="20" t="s">
        <v>320</v>
      </c>
      <c r="C999" s="19" t="s">
        <v>15</v>
      </c>
      <c r="D999" s="19" t="s">
        <v>321</v>
      </c>
      <c r="E999" s="125">
        <v>39.21</v>
      </c>
      <c r="F999" s="125"/>
      <c r="G999" s="21" t="s">
        <v>78</v>
      </c>
      <c r="H999" s="86">
        <v>1</v>
      </c>
      <c r="I999" s="82">
        <v>92.32</v>
      </c>
      <c r="J999" s="82">
        <v>92.32</v>
      </c>
    </row>
    <row r="1000" spans="1:10" ht="38.25" x14ac:dyDescent="0.2">
      <c r="A1000" s="87" t="s">
        <v>781</v>
      </c>
      <c r="B1000" s="88" t="s">
        <v>814</v>
      </c>
      <c r="C1000" s="87" t="s">
        <v>15</v>
      </c>
      <c r="D1000" s="87" t="s">
        <v>815</v>
      </c>
      <c r="E1000" s="126" t="s">
        <v>784</v>
      </c>
      <c r="F1000" s="126"/>
      <c r="G1000" s="89" t="s">
        <v>785</v>
      </c>
      <c r="H1000" s="90">
        <v>0.3</v>
      </c>
      <c r="I1000" s="91">
        <v>27.08</v>
      </c>
      <c r="J1000" s="91">
        <v>8.1199999999999992</v>
      </c>
    </row>
    <row r="1001" spans="1:10" ht="38.25" x14ac:dyDescent="0.2">
      <c r="A1001" s="87" t="s">
        <v>781</v>
      </c>
      <c r="B1001" s="88" t="s">
        <v>812</v>
      </c>
      <c r="C1001" s="87" t="s">
        <v>15</v>
      </c>
      <c r="D1001" s="87" t="s">
        <v>813</v>
      </c>
      <c r="E1001" s="126" t="s">
        <v>784</v>
      </c>
      <c r="F1001" s="126"/>
      <c r="G1001" s="89" t="s">
        <v>785</v>
      </c>
      <c r="H1001" s="90">
        <v>0.3</v>
      </c>
      <c r="I1001" s="91">
        <v>18.57</v>
      </c>
      <c r="J1001" s="91">
        <v>5.57</v>
      </c>
    </row>
    <row r="1002" spans="1:10" ht="38.25" x14ac:dyDescent="0.2">
      <c r="A1002" s="87" t="s">
        <v>781</v>
      </c>
      <c r="B1002" s="88" t="s">
        <v>1152</v>
      </c>
      <c r="C1002" s="87" t="s">
        <v>15</v>
      </c>
      <c r="D1002" s="87" t="s">
        <v>321</v>
      </c>
      <c r="E1002" s="126" t="s">
        <v>794</v>
      </c>
      <c r="F1002" s="126"/>
      <c r="G1002" s="89" t="s">
        <v>78</v>
      </c>
      <c r="H1002" s="90">
        <v>1.02</v>
      </c>
      <c r="I1002" s="91">
        <v>77.09</v>
      </c>
      <c r="J1002" s="91">
        <v>78.63</v>
      </c>
    </row>
    <row r="1003" spans="1:10" ht="38.25" x14ac:dyDescent="0.2">
      <c r="A1003" s="92"/>
      <c r="B1003" s="92"/>
      <c r="C1003" s="92"/>
      <c r="D1003" s="92"/>
      <c r="E1003" s="92" t="s">
        <v>801</v>
      </c>
      <c r="F1003" s="93">
        <v>13.69</v>
      </c>
      <c r="G1003" s="92" t="s">
        <v>802</v>
      </c>
      <c r="H1003" s="93">
        <v>0</v>
      </c>
      <c r="I1003" s="92" t="s">
        <v>803</v>
      </c>
      <c r="J1003" s="93">
        <v>13.69</v>
      </c>
    </row>
    <row r="1004" spans="1:10" ht="38.25" x14ac:dyDescent="0.2">
      <c r="A1004" s="92"/>
      <c r="B1004" s="92"/>
      <c r="C1004" s="92"/>
      <c r="D1004" s="92"/>
      <c r="E1004" s="92" t="s">
        <v>804</v>
      </c>
      <c r="F1004" s="93">
        <v>26.6</v>
      </c>
      <c r="G1004" s="92"/>
      <c r="H1004" s="127" t="s">
        <v>805</v>
      </c>
      <c r="I1004" s="127"/>
      <c r="J1004" s="93">
        <v>118.92</v>
      </c>
    </row>
    <row r="1005" spans="1:10" ht="15" thickBot="1" x14ac:dyDescent="0.25">
      <c r="A1005" s="77"/>
      <c r="B1005" s="77"/>
      <c r="C1005" s="77"/>
      <c r="D1005" s="77"/>
      <c r="E1005" s="77"/>
      <c r="F1005" s="77"/>
      <c r="G1005" s="77" t="s">
        <v>806</v>
      </c>
      <c r="H1005" s="94">
        <v>15</v>
      </c>
      <c r="I1005" s="77" t="s">
        <v>807</v>
      </c>
      <c r="J1005" s="78">
        <v>1783.8</v>
      </c>
    </row>
    <row r="1006" spans="1:10" ht="15" thickTop="1" x14ac:dyDescent="0.2">
      <c r="A1006" s="95"/>
      <c r="B1006" s="95"/>
      <c r="C1006" s="95"/>
      <c r="D1006" s="95"/>
      <c r="E1006" s="95"/>
      <c r="F1006" s="95"/>
      <c r="G1006" s="95"/>
      <c r="H1006" s="95"/>
      <c r="I1006" s="95"/>
      <c r="J1006" s="95"/>
    </row>
    <row r="1007" spans="1:10" ht="15" x14ac:dyDescent="0.2">
      <c r="A1007" s="75" t="s">
        <v>322</v>
      </c>
      <c r="B1007" s="17" t="s">
        <v>11</v>
      </c>
      <c r="C1007" s="75" t="s">
        <v>12</v>
      </c>
      <c r="D1007" s="75" t="s">
        <v>2</v>
      </c>
      <c r="E1007" s="124" t="s">
        <v>779</v>
      </c>
      <c r="F1007" s="124"/>
      <c r="G1007" s="76" t="s">
        <v>3</v>
      </c>
      <c r="H1007" s="17" t="s">
        <v>4</v>
      </c>
      <c r="I1007" s="17" t="s">
        <v>13</v>
      </c>
      <c r="J1007" s="17" t="s">
        <v>17</v>
      </c>
    </row>
    <row r="1008" spans="1:10" ht="25.5" x14ac:dyDescent="0.2">
      <c r="A1008" s="19" t="s">
        <v>780</v>
      </c>
      <c r="B1008" s="20" t="s">
        <v>323</v>
      </c>
      <c r="C1008" s="19" t="s">
        <v>15</v>
      </c>
      <c r="D1008" s="19" t="s">
        <v>324</v>
      </c>
      <c r="E1008" s="125">
        <v>39.21</v>
      </c>
      <c r="F1008" s="125"/>
      <c r="G1008" s="21" t="s">
        <v>78</v>
      </c>
      <c r="H1008" s="86">
        <v>1</v>
      </c>
      <c r="I1008" s="82">
        <v>52</v>
      </c>
      <c r="J1008" s="82">
        <v>52</v>
      </c>
    </row>
    <row r="1009" spans="1:10" ht="38.25" x14ac:dyDescent="0.2">
      <c r="A1009" s="87" t="s">
        <v>781</v>
      </c>
      <c r="B1009" s="88" t="s">
        <v>812</v>
      </c>
      <c r="C1009" s="87" t="s">
        <v>15</v>
      </c>
      <c r="D1009" s="87" t="s">
        <v>813</v>
      </c>
      <c r="E1009" s="126" t="s">
        <v>784</v>
      </c>
      <c r="F1009" s="126"/>
      <c r="G1009" s="89" t="s">
        <v>785</v>
      </c>
      <c r="H1009" s="90">
        <v>0.2</v>
      </c>
      <c r="I1009" s="91">
        <v>18.57</v>
      </c>
      <c r="J1009" s="91">
        <v>3.71</v>
      </c>
    </row>
    <row r="1010" spans="1:10" ht="38.25" x14ac:dyDescent="0.2">
      <c r="A1010" s="87" t="s">
        <v>781</v>
      </c>
      <c r="B1010" s="88" t="s">
        <v>814</v>
      </c>
      <c r="C1010" s="87" t="s">
        <v>15</v>
      </c>
      <c r="D1010" s="87" t="s">
        <v>815</v>
      </c>
      <c r="E1010" s="126" t="s">
        <v>784</v>
      </c>
      <c r="F1010" s="126"/>
      <c r="G1010" s="89" t="s">
        <v>785</v>
      </c>
      <c r="H1010" s="90">
        <v>0.2</v>
      </c>
      <c r="I1010" s="91">
        <v>27.08</v>
      </c>
      <c r="J1010" s="91">
        <v>5.41</v>
      </c>
    </row>
    <row r="1011" spans="1:10" ht="38.25" x14ac:dyDescent="0.2">
      <c r="A1011" s="87" t="s">
        <v>781</v>
      </c>
      <c r="B1011" s="88" t="s">
        <v>1153</v>
      </c>
      <c r="C1011" s="87" t="s">
        <v>15</v>
      </c>
      <c r="D1011" s="87" t="s">
        <v>324</v>
      </c>
      <c r="E1011" s="126" t="s">
        <v>794</v>
      </c>
      <c r="F1011" s="126"/>
      <c r="G1011" s="89" t="s">
        <v>78</v>
      </c>
      <c r="H1011" s="90">
        <v>1.02</v>
      </c>
      <c r="I1011" s="91">
        <v>42.04</v>
      </c>
      <c r="J1011" s="91">
        <v>42.88</v>
      </c>
    </row>
    <row r="1012" spans="1:10" ht="38.25" x14ac:dyDescent="0.2">
      <c r="A1012" s="92"/>
      <c r="B1012" s="92"/>
      <c r="C1012" s="92"/>
      <c r="D1012" s="92"/>
      <c r="E1012" s="92" t="s">
        <v>801</v>
      </c>
      <c r="F1012" s="93">
        <v>9.1199999999999992</v>
      </c>
      <c r="G1012" s="92" t="s">
        <v>802</v>
      </c>
      <c r="H1012" s="93">
        <v>0</v>
      </c>
      <c r="I1012" s="92" t="s">
        <v>803</v>
      </c>
      <c r="J1012" s="93">
        <v>9.1199999999999992</v>
      </c>
    </row>
    <row r="1013" spans="1:10" ht="38.25" x14ac:dyDescent="0.2">
      <c r="A1013" s="92"/>
      <c r="B1013" s="92"/>
      <c r="C1013" s="92"/>
      <c r="D1013" s="92"/>
      <c r="E1013" s="92" t="s">
        <v>804</v>
      </c>
      <c r="F1013" s="93">
        <v>14.98</v>
      </c>
      <c r="G1013" s="92"/>
      <c r="H1013" s="127" t="s">
        <v>805</v>
      </c>
      <c r="I1013" s="127"/>
      <c r="J1013" s="93">
        <v>66.98</v>
      </c>
    </row>
    <row r="1014" spans="1:10" ht="15" thickBot="1" x14ac:dyDescent="0.25">
      <c r="A1014" s="77"/>
      <c r="B1014" s="77"/>
      <c r="C1014" s="77"/>
      <c r="D1014" s="77"/>
      <c r="E1014" s="77"/>
      <c r="F1014" s="77"/>
      <c r="G1014" s="77" t="s">
        <v>806</v>
      </c>
      <c r="H1014" s="94">
        <v>25</v>
      </c>
      <c r="I1014" s="77" t="s">
        <v>807</v>
      </c>
      <c r="J1014" s="78">
        <v>1674.5</v>
      </c>
    </row>
    <row r="1015" spans="1:10" ht="15" thickTop="1" x14ac:dyDescent="0.2">
      <c r="A1015" s="95"/>
      <c r="B1015" s="95"/>
      <c r="C1015" s="95"/>
      <c r="D1015" s="95"/>
      <c r="E1015" s="95"/>
      <c r="F1015" s="95"/>
      <c r="G1015" s="95"/>
      <c r="H1015" s="95"/>
      <c r="I1015" s="95"/>
      <c r="J1015" s="95"/>
    </row>
    <row r="1016" spans="1:10" ht="15" x14ac:dyDescent="0.2">
      <c r="A1016" s="75" t="s">
        <v>325</v>
      </c>
      <c r="B1016" s="17" t="s">
        <v>11</v>
      </c>
      <c r="C1016" s="75" t="s">
        <v>12</v>
      </c>
      <c r="D1016" s="75" t="s">
        <v>2</v>
      </c>
      <c r="E1016" s="124" t="s">
        <v>779</v>
      </c>
      <c r="F1016" s="124"/>
      <c r="G1016" s="76" t="s">
        <v>3</v>
      </c>
      <c r="H1016" s="17" t="s">
        <v>4</v>
      </c>
      <c r="I1016" s="17" t="s">
        <v>13</v>
      </c>
      <c r="J1016" s="17" t="s">
        <v>17</v>
      </c>
    </row>
    <row r="1017" spans="1:10" ht="25.5" x14ac:dyDescent="0.2">
      <c r="A1017" s="19" t="s">
        <v>780</v>
      </c>
      <c r="B1017" s="20" t="s">
        <v>326</v>
      </c>
      <c r="C1017" s="19" t="s">
        <v>327</v>
      </c>
      <c r="D1017" s="19" t="s">
        <v>328</v>
      </c>
      <c r="E1017" s="125" t="s">
        <v>1154</v>
      </c>
      <c r="F1017" s="125"/>
      <c r="G1017" s="21" t="s">
        <v>32</v>
      </c>
      <c r="H1017" s="86">
        <v>1</v>
      </c>
      <c r="I1017" s="82">
        <v>7935.58</v>
      </c>
      <c r="J1017" s="82">
        <v>7935.58</v>
      </c>
    </row>
    <row r="1018" spans="1:10" x14ac:dyDescent="0.2">
      <c r="A1018" s="87" t="s">
        <v>781</v>
      </c>
      <c r="B1018" s="88" t="s">
        <v>1155</v>
      </c>
      <c r="C1018" s="87" t="s">
        <v>327</v>
      </c>
      <c r="D1018" s="87" t="s">
        <v>1027</v>
      </c>
      <c r="E1018" s="126" t="s">
        <v>784</v>
      </c>
      <c r="F1018" s="126"/>
      <c r="G1018" s="89" t="s">
        <v>785</v>
      </c>
      <c r="H1018" s="90">
        <v>2.32098</v>
      </c>
      <c r="I1018" s="91">
        <v>25.374600000000001</v>
      </c>
      <c r="J1018" s="91">
        <v>58.89</v>
      </c>
    </row>
    <row r="1019" spans="1:10" x14ac:dyDescent="0.2">
      <c r="A1019" s="87" t="s">
        <v>781</v>
      </c>
      <c r="B1019" s="88" t="s">
        <v>1156</v>
      </c>
      <c r="C1019" s="87" t="s">
        <v>327</v>
      </c>
      <c r="D1019" s="87" t="s">
        <v>1157</v>
      </c>
      <c r="E1019" s="126" t="s">
        <v>784</v>
      </c>
      <c r="F1019" s="126"/>
      <c r="G1019" s="89" t="s">
        <v>785</v>
      </c>
      <c r="H1019" s="90">
        <v>0.69410000000000005</v>
      </c>
      <c r="I1019" s="91">
        <v>25.374600000000001</v>
      </c>
      <c r="J1019" s="91">
        <v>17.61</v>
      </c>
    </row>
    <row r="1020" spans="1:10" x14ac:dyDescent="0.2">
      <c r="A1020" s="87" t="s">
        <v>781</v>
      </c>
      <c r="B1020" s="88" t="s">
        <v>1158</v>
      </c>
      <c r="C1020" s="87" t="s">
        <v>327</v>
      </c>
      <c r="D1020" s="87" t="s">
        <v>1159</v>
      </c>
      <c r="E1020" s="126" t="s">
        <v>784</v>
      </c>
      <c r="F1020" s="126"/>
      <c r="G1020" s="89" t="s">
        <v>785</v>
      </c>
      <c r="H1020" s="90">
        <v>0.61699999999999999</v>
      </c>
      <c r="I1020" s="91">
        <v>20.845800000000001</v>
      </c>
      <c r="J1020" s="91">
        <v>12.86</v>
      </c>
    </row>
    <row r="1021" spans="1:10" x14ac:dyDescent="0.2">
      <c r="A1021" s="87" t="s">
        <v>781</v>
      </c>
      <c r="B1021" s="88" t="s">
        <v>1160</v>
      </c>
      <c r="C1021" s="87" t="s">
        <v>327</v>
      </c>
      <c r="D1021" s="87" t="s">
        <v>1029</v>
      </c>
      <c r="E1021" s="126" t="s">
        <v>784</v>
      </c>
      <c r="F1021" s="126"/>
      <c r="G1021" s="89" t="s">
        <v>785</v>
      </c>
      <c r="H1021" s="90">
        <v>3.0664799999999999</v>
      </c>
      <c r="I1021" s="91">
        <v>20.845800000000001</v>
      </c>
      <c r="J1021" s="91">
        <v>63.92</v>
      </c>
    </row>
    <row r="1022" spans="1:10" x14ac:dyDescent="0.2">
      <c r="A1022" s="87" t="s">
        <v>781</v>
      </c>
      <c r="B1022" s="88" t="s">
        <v>1161</v>
      </c>
      <c r="C1022" s="87" t="s">
        <v>327</v>
      </c>
      <c r="D1022" s="87" t="s">
        <v>1162</v>
      </c>
      <c r="E1022" s="126" t="s">
        <v>794</v>
      </c>
      <c r="F1022" s="126"/>
      <c r="G1022" s="89" t="s">
        <v>50</v>
      </c>
      <c r="H1022" s="90">
        <v>5.9080000000000001E-2</v>
      </c>
      <c r="I1022" s="91">
        <v>170.09</v>
      </c>
      <c r="J1022" s="91">
        <v>10.039999999999999</v>
      </c>
    </row>
    <row r="1023" spans="1:10" x14ac:dyDescent="0.2">
      <c r="A1023" s="87" t="s">
        <v>781</v>
      </c>
      <c r="B1023" s="88" t="s">
        <v>1163</v>
      </c>
      <c r="C1023" s="87" t="s">
        <v>327</v>
      </c>
      <c r="D1023" s="87" t="s">
        <v>1164</v>
      </c>
      <c r="E1023" s="126" t="s">
        <v>794</v>
      </c>
      <c r="F1023" s="126"/>
      <c r="G1023" s="89" t="s">
        <v>134</v>
      </c>
      <c r="H1023" s="90">
        <v>9.5364000000000004</v>
      </c>
      <c r="I1023" s="91">
        <v>0.88</v>
      </c>
      <c r="J1023" s="91">
        <v>8.39</v>
      </c>
    </row>
    <row r="1024" spans="1:10" x14ac:dyDescent="0.2">
      <c r="A1024" s="87" t="s">
        <v>781</v>
      </c>
      <c r="B1024" s="88" t="s">
        <v>1165</v>
      </c>
      <c r="C1024" s="87" t="s">
        <v>327</v>
      </c>
      <c r="D1024" s="87" t="s">
        <v>1166</v>
      </c>
      <c r="E1024" s="126" t="s">
        <v>794</v>
      </c>
      <c r="F1024" s="126"/>
      <c r="G1024" s="89" t="s">
        <v>134</v>
      </c>
      <c r="H1024" s="90">
        <v>16.6417</v>
      </c>
      <c r="I1024" s="91">
        <v>0.6</v>
      </c>
      <c r="J1024" s="91">
        <v>9.98</v>
      </c>
    </row>
    <row r="1025" spans="1:10" x14ac:dyDescent="0.2">
      <c r="A1025" s="87" t="s">
        <v>781</v>
      </c>
      <c r="B1025" s="88" t="s">
        <v>1167</v>
      </c>
      <c r="C1025" s="87" t="s">
        <v>327</v>
      </c>
      <c r="D1025" s="87" t="s">
        <v>1168</v>
      </c>
      <c r="E1025" s="126" t="s">
        <v>794</v>
      </c>
      <c r="F1025" s="126"/>
      <c r="G1025" s="89" t="s">
        <v>50</v>
      </c>
      <c r="H1025" s="90">
        <v>1.2460000000000001E-2</v>
      </c>
      <c r="I1025" s="91">
        <v>145.66</v>
      </c>
      <c r="J1025" s="91">
        <v>1.81</v>
      </c>
    </row>
    <row r="1026" spans="1:10" x14ac:dyDescent="0.2">
      <c r="A1026" s="87" t="s">
        <v>781</v>
      </c>
      <c r="B1026" s="88" t="s">
        <v>1169</v>
      </c>
      <c r="C1026" s="87" t="s">
        <v>327</v>
      </c>
      <c r="D1026" s="87" t="s">
        <v>1170</v>
      </c>
      <c r="E1026" s="126" t="s">
        <v>794</v>
      </c>
      <c r="F1026" s="126"/>
      <c r="G1026" s="89" t="s">
        <v>78</v>
      </c>
      <c r="H1026" s="90">
        <v>0.73333000000000004</v>
      </c>
      <c r="I1026" s="91">
        <v>4.8099999999999996</v>
      </c>
      <c r="J1026" s="91">
        <v>3.52</v>
      </c>
    </row>
    <row r="1027" spans="1:10" x14ac:dyDescent="0.2">
      <c r="A1027" s="87" t="s">
        <v>781</v>
      </c>
      <c r="B1027" s="88" t="s">
        <v>1171</v>
      </c>
      <c r="C1027" s="87" t="s">
        <v>327</v>
      </c>
      <c r="D1027" s="87" t="s">
        <v>1172</v>
      </c>
      <c r="E1027" s="126" t="s">
        <v>794</v>
      </c>
      <c r="F1027" s="126"/>
      <c r="G1027" s="89" t="s">
        <v>5</v>
      </c>
      <c r="H1027" s="90">
        <v>0.1</v>
      </c>
      <c r="I1027" s="91">
        <v>40.51</v>
      </c>
      <c r="J1027" s="91">
        <v>4.05</v>
      </c>
    </row>
    <row r="1028" spans="1:10" x14ac:dyDescent="0.2">
      <c r="A1028" s="87" t="s">
        <v>781</v>
      </c>
      <c r="B1028" s="88" t="s">
        <v>1173</v>
      </c>
      <c r="C1028" s="87" t="s">
        <v>327</v>
      </c>
      <c r="D1028" s="87" t="s">
        <v>1174</v>
      </c>
      <c r="E1028" s="126" t="s">
        <v>794</v>
      </c>
      <c r="F1028" s="126"/>
      <c r="G1028" s="89" t="s">
        <v>134</v>
      </c>
      <c r="H1028" s="90">
        <v>0.58299999999999996</v>
      </c>
      <c r="I1028" s="91">
        <v>6.9</v>
      </c>
      <c r="J1028" s="91">
        <v>4.0199999999999996</v>
      </c>
    </row>
    <row r="1029" spans="1:10" x14ac:dyDescent="0.2">
      <c r="A1029" s="87" t="s">
        <v>781</v>
      </c>
      <c r="B1029" s="88" t="s">
        <v>1175</v>
      </c>
      <c r="C1029" s="87" t="s">
        <v>327</v>
      </c>
      <c r="D1029" s="87" t="s">
        <v>1176</v>
      </c>
      <c r="E1029" s="126" t="s">
        <v>794</v>
      </c>
      <c r="F1029" s="126"/>
      <c r="G1029" s="89" t="s">
        <v>32</v>
      </c>
      <c r="H1029" s="90">
        <v>16</v>
      </c>
      <c r="I1029" s="91">
        <v>5.43</v>
      </c>
      <c r="J1029" s="91">
        <v>86.88</v>
      </c>
    </row>
    <row r="1030" spans="1:10" x14ac:dyDescent="0.2">
      <c r="A1030" s="87" t="s">
        <v>781</v>
      </c>
      <c r="B1030" s="88" t="s">
        <v>1177</v>
      </c>
      <c r="C1030" s="87" t="s">
        <v>327</v>
      </c>
      <c r="D1030" s="87" t="s">
        <v>1178</v>
      </c>
      <c r="E1030" s="126" t="s">
        <v>794</v>
      </c>
      <c r="F1030" s="126"/>
      <c r="G1030" s="89" t="s">
        <v>134</v>
      </c>
      <c r="H1030" s="90">
        <v>1.2E-2</v>
      </c>
      <c r="I1030" s="91">
        <v>13.88</v>
      </c>
      <c r="J1030" s="91">
        <v>0.16</v>
      </c>
    </row>
    <row r="1031" spans="1:10" x14ac:dyDescent="0.2">
      <c r="A1031" s="87" t="s">
        <v>781</v>
      </c>
      <c r="B1031" s="88" t="s">
        <v>1179</v>
      </c>
      <c r="C1031" s="87" t="s">
        <v>327</v>
      </c>
      <c r="D1031" s="87" t="s">
        <v>1180</v>
      </c>
      <c r="E1031" s="126" t="s">
        <v>794</v>
      </c>
      <c r="F1031" s="126"/>
      <c r="G1031" s="89" t="s">
        <v>720</v>
      </c>
      <c r="H1031" s="90">
        <v>0.3856</v>
      </c>
      <c r="I1031" s="91">
        <v>17.52</v>
      </c>
      <c r="J1031" s="91">
        <v>6.75</v>
      </c>
    </row>
    <row r="1032" spans="1:10" x14ac:dyDescent="0.2">
      <c r="A1032" s="87" t="s">
        <v>781</v>
      </c>
      <c r="B1032" s="88" t="s">
        <v>1181</v>
      </c>
      <c r="C1032" s="87" t="s">
        <v>327</v>
      </c>
      <c r="D1032" s="87" t="s">
        <v>1182</v>
      </c>
      <c r="E1032" s="126" t="s">
        <v>794</v>
      </c>
      <c r="F1032" s="126"/>
      <c r="G1032" s="89" t="s">
        <v>720</v>
      </c>
      <c r="H1032" s="90">
        <v>0.3085</v>
      </c>
      <c r="I1032" s="91">
        <v>13.87</v>
      </c>
      <c r="J1032" s="91">
        <v>4.2699999999999996</v>
      </c>
    </row>
    <row r="1033" spans="1:10" x14ac:dyDescent="0.2">
      <c r="A1033" s="87" t="s">
        <v>781</v>
      </c>
      <c r="B1033" s="88" t="s">
        <v>1183</v>
      </c>
      <c r="C1033" s="87" t="s">
        <v>327</v>
      </c>
      <c r="D1033" s="87" t="s">
        <v>1184</v>
      </c>
      <c r="E1033" s="126" t="s">
        <v>794</v>
      </c>
      <c r="F1033" s="126"/>
      <c r="G1033" s="89" t="s">
        <v>32</v>
      </c>
      <c r="H1033" s="90">
        <v>0.4627</v>
      </c>
      <c r="I1033" s="91">
        <v>1.7</v>
      </c>
      <c r="J1033" s="91">
        <v>0.78</v>
      </c>
    </row>
    <row r="1034" spans="1:10" ht="25.5" x14ac:dyDescent="0.2">
      <c r="A1034" s="87" t="s">
        <v>781</v>
      </c>
      <c r="B1034" s="88" t="s">
        <v>1185</v>
      </c>
      <c r="C1034" s="87" t="s">
        <v>327</v>
      </c>
      <c r="D1034" s="87" t="s">
        <v>1186</v>
      </c>
      <c r="E1034" s="126" t="s">
        <v>794</v>
      </c>
      <c r="F1034" s="126"/>
      <c r="G1034" s="89" t="s">
        <v>32</v>
      </c>
      <c r="H1034" s="90">
        <v>1</v>
      </c>
      <c r="I1034" s="91">
        <v>7641.65</v>
      </c>
      <c r="J1034" s="91">
        <v>7641.65</v>
      </c>
    </row>
    <row r="1035" spans="1:10" ht="38.25" x14ac:dyDescent="0.2">
      <c r="A1035" s="92"/>
      <c r="B1035" s="92"/>
      <c r="C1035" s="92"/>
      <c r="D1035" s="92"/>
      <c r="E1035" s="92" t="s">
        <v>801</v>
      </c>
      <c r="F1035" s="93">
        <v>153.28</v>
      </c>
      <c r="G1035" s="92" t="s">
        <v>802</v>
      </c>
      <c r="H1035" s="93">
        <v>0</v>
      </c>
      <c r="I1035" s="92" t="s">
        <v>803</v>
      </c>
      <c r="J1035" s="93">
        <v>153.28</v>
      </c>
    </row>
    <row r="1036" spans="1:10" ht="38.25" x14ac:dyDescent="0.2">
      <c r="A1036" s="92"/>
      <c r="B1036" s="92"/>
      <c r="C1036" s="92"/>
      <c r="D1036" s="92"/>
      <c r="E1036" s="92" t="s">
        <v>804</v>
      </c>
      <c r="F1036" s="93">
        <v>2287.0300000000002</v>
      </c>
      <c r="G1036" s="92"/>
      <c r="H1036" s="127" t="s">
        <v>805</v>
      </c>
      <c r="I1036" s="127"/>
      <c r="J1036" s="93">
        <v>10222.61</v>
      </c>
    </row>
    <row r="1037" spans="1:10" ht="15" thickBot="1" x14ac:dyDescent="0.25">
      <c r="A1037" s="77"/>
      <c r="B1037" s="77"/>
      <c r="C1037" s="77"/>
      <c r="D1037" s="77"/>
      <c r="E1037" s="77"/>
      <c r="F1037" s="77"/>
      <c r="G1037" s="77" t="s">
        <v>806</v>
      </c>
      <c r="H1037" s="94">
        <v>1</v>
      </c>
      <c r="I1037" s="77" t="s">
        <v>807</v>
      </c>
      <c r="J1037" s="78">
        <v>10222.61</v>
      </c>
    </row>
    <row r="1038" spans="1:10" ht="15" thickTop="1" x14ac:dyDescent="0.2">
      <c r="A1038" s="95"/>
      <c r="B1038" s="95"/>
      <c r="C1038" s="95"/>
      <c r="D1038" s="95"/>
      <c r="E1038" s="95"/>
      <c r="F1038" s="95"/>
      <c r="G1038" s="95"/>
      <c r="H1038" s="95"/>
      <c r="I1038" s="95"/>
      <c r="J1038" s="95"/>
    </row>
    <row r="1039" spans="1:10" x14ac:dyDescent="0.2">
      <c r="A1039" s="18" t="s">
        <v>329</v>
      </c>
      <c r="B1039" s="18"/>
      <c r="C1039" s="18"/>
      <c r="D1039" s="18" t="s">
        <v>330</v>
      </c>
      <c r="E1039" s="18"/>
      <c r="F1039" s="122"/>
      <c r="G1039" s="122"/>
      <c r="H1039" s="39"/>
      <c r="I1039" s="18"/>
      <c r="J1039" s="80">
        <v>1712.46</v>
      </c>
    </row>
    <row r="1040" spans="1:10" ht="15" x14ac:dyDescent="0.2">
      <c r="A1040" s="75" t="s">
        <v>331</v>
      </c>
      <c r="B1040" s="17" t="s">
        <v>11</v>
      </c>
      <c r="C1040" s="75" t="s">
        <v>12</v>
      </c>
      <c r="D1040" s="75" t="s">
        <v>2</v>
      </c>
      <c r="E1040" s="124" t="s">
        <v>779</v>
      </c>
      <c r="F1040" s="124"/>
      <c r="G1040" s="76" t="s">
        <v>3</v>
      </c>
      <c r="H1040" s="17" t="s">
        <v>4</v>
      </c>
      <c r="I1040" s="17" t="s">
        <v>13</v>
      </c>
      <c r="J1040" s="17" t="s">
        <v>17</v>
      </c>
    </row>
    <row r="1041" spans="1:10" ht="25.5" x14ac:dyDescent="0.2">
      <c r="A1041" s="19" t="s">
        <v>780</v>
      </c>
      <c r="B1041" s="20" t="s">
        <v>686</v>
      </c>
      <c r="C1041" s="19" t="s">
        <v>15</v>
      </c>
      <c r="D1041" s="19" t="s">
        <v>687</v>
      </c>
      <c r="E1041" s="125">
        <v>37.03</v>
      </c>
      <c r="F1041" s="125"/>
      <c r="G1041" s="21" t="s">
        <v>32</v>
      </c>
      <c r="H1041" s="86">
        <v>1</v>
      </c>
      <c r="I1041" s="82">
        <v>561.76</v>
      </c>
      <c r="J1041" s="82">
        <v>561.76</v>
      </c>
    </row>
    <row r="1042" spans="1:10" ht="38.25" x14ac:dyDescent="0.2">
      <c r="A1042" s="87" t="s">
        <v>781</v>
      </c>
      <c r="B1042" s="88" t="s">
        <v>812</v>
      </c>
      <c r="C1042" s="87" t="s">
        <v>15</v>
      </c>
      <c r="D1042" s="87" t="s">
        <v>813</v>
      </c>
      <c r="E1042" s="126" t="s">
        <v>784</v>
      </c>
      <c r="F1042" s="126"/>
      <c r="G1042" s="89" t="s">
        <v>785</v>
      </c>
      <c r="H1042" s="90">
        <v>2</v>
      </c>
      <c r="I1042" s="91">
        <v>18.57</v>
      </c>
      <c r="J1042" s="91">
        <v>37.14</v>
      </c>
    </row>
    <row r="1043" spans="1:10" ht="38.25" x14ac:dyDescent="0.2">
      <c r="A1043" s="87" t="s">
        <v>781</v>
      </c>
      <c r="B1043" s="88" t="s">
        <v>832</v>
      </c>
      <c r="C1043" s="87" t="s">
        <v>15</v>
      </c>
      <c r="D1043" s="87" t="s">
        <v>833</v>
      </c>
      <c r="E1043" s="126" t="s">
        <v>784</v>
      </c>
      <c r="F1043" s="126"/>
      <c r="G1043" s="89" t="s">
        <v>785</v>
      </c>
      <c r="H1043" s="90">
        <v>2</v>
      </c>
      <c r="I1043" s="91">
        <v>22.61</v>
      </c>
      <c r="J1043" s="91">
        <v>45.22</v>
      </c>
    </row>
    <row r="1044" spans="1:10" ht="38.25" x14ac:dyDescent="0.2">
      <c r="A1044" s="87" t="s">
        <v>781</v>
      </c>
      <c r="B1044" s="88" t="s">
        <v>814</v>
      </c>
      <c r="C1044" s="87" t="s">
        <v>15</v>
      </c>
      <c r="D1044" s="87" t="s">
        <v>815</v>
      </c>
      <c r="E1044" s="126" t="s">
        <v>784</v>
      </c>
      <c r="F1044" s="126"/>
      <c r="G1044" s="89" t="s">
        <v>785</v>
      </c>
      <c r="H1044" s="90">
        <v>2</v>
      </c>
      <c r="I1044" s="91">
        <v>27.08</v>
      </c>
      <c r="J1044" s="91">
        <v>54.16</v>
      </c>
    </row>
    <row r="1045" spans="1:10" ht="38.25" x14ac:dyDescent="0.2">
      <c r="A1045" s="87" t="s">
        <v>781</v>
      </c>
      <c r="B1045" s="88" t="s">
        <v>1187</v>
      </c>
      <c r="C1045" s="87" t="s">
        <v>15</v>
      </c>
      <c r="D1045" s="87" t="s">
        <v>1188</v>
      </c>
      <c r="E1045" s="126" t="s">
        <v>794</v>
      </c>
      <c r="F1045" s="126"/>
      <c r="G1045" s="89" t="s">
        <v>32</v>
      </c>
      <c r="H1045" s="90">
        <v>1</v>
      </c>
      <c r="I1045" s="91">
        <v>425.24</v>
      </c>
      <c r="J1045" s="91">
        <v>425.24</v>
      </c>
    </row>
    <row r="1046" spans="1:10" ht="38.25" x14ac:dyDescent="0.2">
      <c r="A1046" s="92"/>
      <c r="B1046" s="92"/>
      <c r="C1046" s="92"/>
      <c r="D1046" s="92"/>
      <c r="E1046" s="92" t="s">
        <v>801</v>
      </c>
      <c r="F1046" s="93">
        <v>136.52000000000001</v>
      </c>
      <c r="G1046" s="92" t="s">
        <v>802</v>
      </c>
      <c r="H1046" s="93">
        <v>0</v>
      </c>
      <c r="I1046" s="92" t="s">
        <v>803</v>
      </c>
      <c r="J1046" s="93">
        <v>136.52000000000001</v>
      </c>
    </row>
    <row r="1047" spans="1:10" ht="38.25" x14ac:dyDescent="0.2">
      <c r="A1047" s="92"/>
      <c r="B1047" s="92"/>
      <c r="C1047" s="92"/>
      <c r="D1047" s="92"/>
      <c r="E1047" s="92" t="s">
        <v>804</v>
      </c>
      <c r="F1047" s="93">
        <v>161.88999999999999</v>
      </c>
      <c r="G1047" s="92"/>
      <c r="H1047" s="127" t="s">
        <v>805</v>
      </c>
      <c r="I1047" s="127"/>
      <c r="J1047" s="93">
        <v>723.65</v>
      </c>
    </row>
    <row r="1048" spans="1:10" ht="15" thickBot="1" x14ac:dyDescent="0.25">
      <c r="A1048" s="77"/>
      <c r="B1048" s="77"/>
      <c r="C1048" s="77"/>
      <c r="D1048" s="77"/>
      <c r="E1048" s="77"/>
      <c r="F1048" s="77"/>
      <c r="G1048" s="77" t="s">
        <v>806</v>
      </c>
      <c r="H1048" s="94">
        <v>1</v>
      </c>
      <c r="I1048" s="77" t="s">
        <v>807</v>
      </c>
      <c r="J1048" s="78">
        <v>723.65</v>
      </c>
    </row>
    <row r="1049" spans="1:10" ht="15" thickTop="1" x14ac:dyDescent="0.2">
      <c r="A1049" s="95"/>
      <c r="B1049" s="95"/>
      <c r="C1049" s="95"/>
      <c r="D1049" s="95"/>
      <c r="E1049" s="95"/>
      <c r="F1049" s="95"/>
      <c r="G1049" s="95"/>
      <c r="H1049" s="95"/>
      <c r="I1049" s="95"/>
      <c r="J1049" s="95"/>
    </row>
    <row r="1050" spans="1:10" ht="15" x14ac:dyDescent="0.2">
      <c r="A1050" s="75" t="s">
        <v>332</v>
      </c>
      <c r="B1050" s="17" t="s">
        <v>11</v>
      </c>
      <c r="C1050" s="75" t="s">
        <v>12</v>
      </c>
      <c r="D1050" s="75" t="s">
        <v>2</v>
      </c>
      <c r="E1050" s="124" t="s">
        <v>779</v>
      </c>
      <c r="F1050" s="124"/>
      <c r="G1050" s="76" t="s">
        <v>3</v>
      </c>
      <c r="H1050" s="17" t="s">
        <v>4</v>
      </c>
      <c r="I1050" s="17" t="s">
        <v>13</v>
      </c>
      <c r="J1050" s="17" t="s">
        <v>17</v>
      </c>
    </row>
    <row r="1051" spans="1:10" ht="25.5" x14ac:dyDescent="0.2">
      <c r="A1051" s="19" t="s">
        <v>780</v>
      </c>
      <c r="B1051" s="20" t="s">
        <v>333</v>
      </c>
      <c r="C1051" s="19" t="s">
        <v>15</v>
      </c>
      <c r="D1051" s="19" t="s">
        <v>334</v>
      </c>
      <c r="E1051" s="125">
        <v>69.03</v>
      </c>
      <c r="F1051" s="125"/>
      <c r="G1051" s="21" t="s">
        <v>32</v>
      </c>
      <c r="H1051" s="86">
        <v>1</v>
      </c>
      <c r="I1051" s="82">
        <v>592.91999999999996</v>
      </c>
      <c r="J1051" s="82">
        <v>592.91999999999996</v>
      </c>
    </row>
    <row r="1052" spans="1:10" ht="38.25" x14ac:dyDescent="0.2">
      <c r="A1052" s="87" t="s">
        <v>781</v>
      </c>
      <c r="B1052" s="88" t="s">
        <v>808</v>
      </c>
      <c r="C1052" s="87" t="s">
        <v>15</v>
      </c>
      <c r="D1052" s="87" t="s">
        <v>809</v>
      </c>
      <c r="E1052" s="126" t="s">
        <v>784</v>
      </c>
      <c r="F1052" s="126"/>
      <c r="G1052" s="89" t="s">
        <v>785</v>
      </c>
      <c r="H1052" s="90">
        <v>2.3900000000000001E-2</v>
      </c>
      <c r="I1052" s="91">
        <v>18.57</v>
      </c>
      <c r="J1052" s="91">
        <v>0.44</v>
      </c>
    </row>
    <row r="1053" spans="1:10" ht="38.25" x14ac:dyDescent="0.2">
      <c r="A1053" s="87" t="s">
        <v>781</v>
      </c>
      <c r="B1053" s="88" t="s">
        <v>790</v>
      </c>
      <c r="C1053" s="87" t="s">
        <v>15</v>
      </c>
      <c r="D1053" s="87" t="s">
        <v>791</v>
      </c>
      <c r="E1053" s="126" t="s">
        <v>784</v>
      </c>
      <c r="F1053" s="126"/>
      <c r="G1053" s="89" t="s">
        <v>785</v>
      </c>
      <c r="H1053" s="90">
        <v>0.8306</v>
      </c>
      <c r="I1053" s="91">
        <v>22.61</v>
      </c>
      <c r="J1053" s="91">
        <v>18.77</v>
      </c>
    </row>
    <row r="1054" spans="1:10" ht="38.25" x14ac:dyDescent="0.2">
      <c r="A1054" s="87" t="s">
        <v>781</v>
      </c>
      <c r="B1054" s="88" t="s">
        <v>782</v>
      </c>
      <c r="C1054" s="87" t="s">
        <v>15</v>
      </c>
      <c r="D1054" s="87" t="s">
        <v>783</v>
      </c>
      <c r="E1054" s="126" t="s">
        <v>784</v>
      </c>
      <c r="F1054" s="126"/>
      <c r="G1054" s="89" t="s">
        <v>785</v>
      </c>
      <c r="H1054" s="90">
        <v>0.8306</v>
      </c>
      <c r="I1054" s="91">
        <v>18.57</v>
      </c>
      <c r="J1054" s="91">
        <v>15.42</v>
      </c>
    </row>
    <row r="1055" spans="1:10" ht="38.25" x14ac:dyDescent="0.2">
      <c r="A1055" s="87" t="s">
        <v>781</v>
      </c>
      <c r="B1055" s="88" t="s">
        <v>962</v>
      </c>
      <c r="C1055" s="87" t="s">
        <v>15</v>
      </c>
      <c r="D1055" s="87" t="s">
        <v>963</v>
      </c>
      <c r="E1055" s="126" t="s">
        <v>784</v>
      </c>
      <c r="F1055" s="126"/>
      <c r="G1055" s="89" t="s">
        <v>785</v>
      </c>
      <c r="H1055" s="90">
        <v>1.67E-2</v>
      </c>
      <c r="I1055" s="91">
        <v>27.08</v>
      </c>
      <c r="J1055" s="91">
        <v>0.45</v>
      </c>
    </row>
    <row r="1056" spans="1:10" ht="38.25" x14ac:dyDescent="0.2">
      <c r="A1056" s="87" t="s">
        <v>781</v>
      </c>
      <c r="B1056" s="88" t="s">
        <v>960</v>
      </c>
      <c r="C1056" s="87" t="s">
        <v>15</v>
      </c>
      <c r="D1056" s="87" t="s">
        <v>961</v>
      </c>
      <c r="E1056" s="126" t="s">
        <v>784</v>
      </c>
      <c r="F1056" s="126"/>
      <c r="G1056" s="89" t="s">
        <v>785</v>
      </c>
      <c r="H1056" s="90">
        <v>1.67E-2</v>
      </c>
      <c r="I1056" s="91">
        <v>18.57</v>
      </c>
      <c r="J1056" s="91">
        <v>0.31</v>
      </c>
    </row>
    <row r="1057" spans="1:10" ht="38.25" x14ac:dyDescent="0.2">
      <c r="A1057" s="87" t="s">
        <v>781</v>
      </c>
      <c r="B1057" s="88" t="s">
        <v>867</v>
      </c>
      <c r="C1057" s="87" t="s">
        <v>15</v>
      </c>
      <c r="D1057" s="87" t="s">
        <v>868</v>
      </c>
      <c r="E1057" s="126" t="s">
        <v>784</v>
      </c>
      <c r="F1057" s="126"/>
      <c r="G1057" s="89" t="s">
        <v>785</v>
      </c>
      <c r="H1057" s="90">
        <v>0.44</v>
      </c>
      <c r="I1057" s="91">
        <v>22.61</v>
      </c>
      <c r="J1057" s="91">
        <v>9.94</v>
      </c>
    </row>
    <row r="1058" spans="1:10" ht="38.25" x14ac:dyDescent="0.2">
      <c r="A1058" s="87" t="s">
        <v>781</v>
      </c>
      <c r="B1058" s="88" t="s">
        <v>865</v>
      </c>
      <c r="C1058" s="87" t="s">
        <v>15</v>
      </c>
      <c r="D1058" s="87" t="s">
        <v>866</v>
      </c>
      <c r="E1058" s="126" t="s">
        <v>784</v>
      </c>
      <c r="F1058" s="126"/>
      <c r="G1058" s="89" t="s">
        <v>785</v>
      </c>
      <c r="H1058" s="90">
        <v>0.88</v>
      </c>
      <c r="I1058" s="91">
        <v>18.57</v>
      </c>
      <c r="J1058" s="91">
        <v>16.34</v>
      </c>
    </row>
    <row r="1059" spans="1:10" ht="38.25" x14ac:dyDescent="0.2">
      <c r="A1059" s="87" t="s">
        <v>781</v>
      </c>
      <c r="B1059" s="88" t="s">
        <v>832</v>
      </c>
      <c r="C1059" s="87" t="s">
        <v>15</v>
      </c>
      <c r="D1059" s="87" t="s">
        <v>833</v>
      </c>
      <c r="E1059" s="126" t="s">
        <v>784</v>
      </c>
      <c r="F1059" s="126"/>
      <c r="G1059" s="89" t="s">
        <v>785</v>
      </c>
      <c r="H1059" s="90">
        <v>0.22</v>
      </c>
      <c r="I1059" s="91">
        <v>22.61</v>
      </c>
      <c r="J1059" s="91">
        <v>4.97</v>
      </c>
    </row>
    <row r="1060" spans="1:10" ht="38.25" x14ac:dyDescent="0.2">
      <c r="A1060" s="87" t="s">
        <v>781</v>
      </c>
      <c r="B1060" s="88" t="s">
        <v>816</v>
      </c>
      <c r="C1060" s="87" t="s">
        <v>15</v>
      </c>
      <c r="D1060" s="87" t="s">
        <v>817</v>
      </c>
      <c r="E1060" s="126" t="s">
        <v>784</v>
      </c>
      <c r="F1060" s="126"/>
      <c r="G1060" s="89" t="s">
        <v>785</v>
      </c>
      <c r="H1060" s="90">
        <v>3.5640999999999998</v>
      </c>
      <c r="I1060" s="91">
        <v>18.57</v>
      </c>
      <c r="J1060" s="91">
        <v>66.180000000000007</v>
      </c>
    </row>
    <row r="1061" spans="1:10" ht="38.25" x14ac:dyDescent="0.2">
      <c r="A1061" s="87" t="s">
        <v>781</v>
      </c>
      <c r="B1061" s="88" t="s">
        <v>913</v>
      </c>
      <c r="C1061" s="87" t="s">
        <v>15</v>
      </c>
      <c r="D1061" s="87" t="s">
        <v>914</v>
      </c>
      <c r="E1061" s="126" t="s">
        <v>794</v>
      </c>
      <c r="F1061" s="126"/>
      <c r="G1061" s="89" t="s">
        <v>134</v>
      </c>
      <c r="H1061" s="90">
        <v>33</v>
      </c>
      <c r="I1061" s="91">
        <v>0.6</v>
      </c>
      <c r="J1061" s="91">
        <v>19.8</v>
      </c>
    </row>
    <row r="1062" spans="1:10" ht="38.25" x14ac:dyDescent="0.2">
      <c r="A1062" s="87" t="s">
        <v>781</v>
      </c>
      <c r="B1062" s="88" t="s">
        <v>911</v>
      </c>
      <c r="C1062" s="87" t="s">
        <v>15</v>
      </c>
      <c r="D1062" s="87" t="s">
        <v>912</v>
      </c>
      <c r="E1062" s="126" t="s">
        <v>794</v>
      </c>
      <c r="F1062" s="126"/>
      <c r="G1062" s="89" t="s">
        <v>50</v>
      </c>
      <c r="H1062" s="90">
        <v>7.0199999999999999E-2</v>
      </c>
      <c r="I1062" s="91">
        <v>167.7</v>
      </c>
      <c r="J1062" s="91">
        <v>11.77</v>
      </c>
    </row>
    <row r="1063" spans="1:10" ht="38.25" x14ac:dyDescent="0.2">
      <c r="A1063" s="87" t="s">
        <v>781</v>
      </c>
      <c r="B1063" s="88" t="s">
        <v>897</v>
      </c>
      <c r="C1063" s="87" t="s">
        <v>15</v>
      </c>
      <c r="D1063" s="87" t="s">
        <v>898</v>
      </c>
      <c r="E1063" s="126" t="s">
        <v>794</v>
      </c>
      <c r="F1063" s="126"/>
      <c r="G1063" s="89" t="s">
        <v>50</v>
      </c>
      <c r="H1063" s="90">
        <v>9.3600000000000003E-2</v>
      </c>
      <c r="I1063" s="91">
        <v>147.22999999999999</v>
      </c>
      <c r="J1063" s="91">
        <v>13.78</v>
      </c>
    </row>
    <row r="1064" spans="1:10" ht="38.25" x14ac:dyDescent="0.2">
      <c r="A1064" s="87" t="s">
        <v>781</v>
      </c>
      <c r="B1064" s="88" t="s">
        <v>871</v>
      </c>
      <c r="C1064" s="87" t="s">
        <v>15</v>
      </c>
      <c r="D1064" s="87" t="s">
        <v>872</v>
      </c>
      <c r="E1064" s="126" t="s">
        <v>794</v>
      </c>
      <c r="F1064" s="126"/>
      <c r="G1064" s="89" t="s">
        <v>134</v>
      </c>
      <c r="H1064" s="90">
        <v>12.1</v>
      </c>
      <c r="I1064" s="91">
        <v>6.9</v>
      </c>
      <c r="J1064" s="91">
        <v>83.49</v>
      </c>
    </row>
    <row r="1065" spans="1:10" ht="38.25" x14ac:dyDescent="0.2">
      <c r="A1065" s="87" t="s">
        <v>781</v>
      </c>
      <c r="B1065" s="88" t="s">
        <v>893</v>
      </c>
      <c r="C1065" s="87" t="s">
        <v>15</v>
      </c>
      <c r="D1065" s="87" t="s">
        <v>894</v>
      </c>
      <c r="E1065" s="126" t="s">
        <v>794</v>
      </c>
      <c r="F1065" s="126"/>
      <c r="G1065" s="89" t="s">
        <v>78</v>
      </c>
      <c r="H1065" s="90">
        <v>0.31950000000000001</v>
      </c>
      <c r="I1065" s="91">
        <v>7.59</v>
      </c>
      <c r="J1065" s="91">
        <v>2.42</v>
      </c>
    </row>
    <row r="1066" spans="1:10" ht="38.25" x14ac:dyDescent="0.2">
      <c r="A1066" s="87" t="s">
        <v>781</v>
      </c>
      <c r="B1066" s="88" t="s">
        <v>818</v>
      </c>
      <c r="C1066" s="87" t="s">
        <v>15</v>
      </c>
      <c r="D1066" s="87" t="s">
        <v>819</v>
      </c>
      <c r="E1066" s="126" t="s">
        <v>794</v>
      </c>
      <c r="F1066" s="126"/>
      <c r="G1066" s="89" t="s">
        <v>5</v>
      </c>
      <c r="H1066" s="90">
        <v>0.19170000000000001</v>
      </c>
      <c r="I1066" s="91">
        <v>112.78</v>
      </c>
      <c r="J1066" s="91">
        <v>21.61</v>
      </c>
    </row>
    <row r="1067" spans="1:10" ht="38.25" x14ac:dyDescent="0.2">
      <c r="A1067" s="87" t="s">
        <v>781</v>
      </c>
      <c r="B1067" s="88" t="s">
        <v>795</v>
      </c>
      <c r="C1067" s="87" t="s">
        <v>15</v>
      </c>
      <c r="D1067" s="87" t="s">
        <v>796</v>
      </c>
      <c r="E1067" s="126" t="s">
        <v>794</v>
      </c>
      <c r="F1067" s="126"/>
      <c r="G1067" s="89" t="s">
        <v>134</v>
      </c>
      <c r="H1067" s="90">
        <v>9.5799999999999996E-2</v>
      </c>
      <c r="I1067" s="91">
        <v>11.64</v>
      </c>
      <c r="J1067" s="91">
        <v>1.1100000000000001</v>
      </c>
    </row>
    <row r="1068" spans="1:10" ht="38.25" x14ac:dyDescent="0.2">
      <c r="A1068" s="87" t="s">
        <v>781</v>
      </c>
      <c r="B1068" s="88" t="s">
        <v>875</v>
      </c>
      <c r="C1068" s="87" t="s">
        <v>15</v>
      </c>
      <c r="D1068" s="87" t="s">
        <v>876</v>
      </c>
      <c r="E1068" s="126" t="s">
        <v>794</v>
      </c>
      <c r="F1068" s="126"/>
      <c r="G1068" s="89" t="s">
        <v>134</v>
      </c>
      <c r="H1068" s="90">
        <v>0.33</v>
      </c>
      <c r="I1068" s="91">
        <v>13.7</v>
      </c>
      <c r="J1068" s="91">
        <v>4.5199999999999996</v>
      </c>
    </row>
    <row r="1069" spans="1:10" ht="38.25" x14ac:dyDescent="0.2">
      <c r="A1069" s="87" t="s">
        <v>781</v>
      </c>
      <c r="B1069" s="88" t="s">
        <v>903</v>
      </c>
      <c r="C1069" s="87" t="s">
        <v>15</v>
      </c>
      <c r="D1069" s="87" t="s">
        <v>904</v>
      </c>
      <c r="E1069" s="126" t="s">
        <v>794</v>
      </c>
      <c r="F1069" s="126"/>
      <c r="G1069" s="89" t="s">
        <v>720</v>
      </c>
      <c r="H1069" s="90">
        <v>0.25</v>
      </c>
      <c r="I1069" s="91">
        <v>21.67</v>
      </c>
      <c r="J1069" s="91">
        <v>5.41</v>
      </c>
    </row>
    <row r="1070" spans="1:10" ht="38.25" x14ac:dyDescent="0.2">
      <c r="A1070" s="87" t="s">
        <v>781</v>
      </c>
      <c r="B1070" s="88" t="s">
        <v>895</v>
      </c>
      <c r="C1070" s="87" t="s">
        <v>15</v>
      </c>
      <c r="D1070" s="87" t="s">
        <v>896</v>
      </c>
      <c r="E1070" s="126" t="s">
        <v>794</v>
      </c>
      <c r="F1070" s="126"/>
      <c r="G1070" s="89" t="s">
        <v>720</v>
      </c>
      <c r="H1070" s="90">
        <v>0.25559999999999999</v>
      </c>
      <c r="I1070" s="91">
        <v>14.1</v>
      </c>
      <c r="J1070" s="91">
        <v>3.6</v>
      </c>
    </row>
    <row r="1071" spans="1:10" ht="38.25" x14ac:dyDescent="0.2">
      <c r="A1071" s="87" t="s">
        <v>781</v>
      </c>
      <c r="B1071" s="88" t="s">
        <v>1189</v>
      </c>
      <c r="C1071" s="87" t="s">
        <v>15</v>
      </c>
      <c r="D1071" s="87" t="s">
        <v>1190</v>
      </c>
      <c r="E1071" s="126" t="s">
        <v>794</v>
      </c>
      <c r="F1071" s="126"/>
      <c r="G1071" s="89" t="s">
        <v>78</v>
      </c>
      <c r="H1071" s="90">
        <v>0.51500000000000001</v>
      </c>
      <c r="I1071" s="91">
        <v>10.74</v>
      </c>
      <c r="J1071" s="91">
        <v>5.53</v>
      </c>
    </row>
    <row r="1072" spans="1:10" ht="38.25" x14ac:dyDescent="0.2">
      <c r="A1072" s="87" t="s">
        <v>781</v>
      </c>
      <c r="B1072" s="88" t="s">
        <v>1191</v>
      </c>
      <c r="C1072" s="87" t="s">
        <v>15</v>
      </c>
      <c r="D1072" s="87" t="s">
        <v>1192</v>
      </c>
      <c r="E1072" s="126" t="s">
        <v>794</v>
      </c>
      <c r="F1072" s="126"/>
      <c r="G1072" s="89" t="s">
        <v>32</v>
      </c>
      <c r="H1072" s="90">
        <v>1</v>
      </c>
      <c r="I1072" s="91">
        <v>286.14</v>
      </c>
      <c r="J1072" s="91">
        <v>286.14</v>
      </c>
    </row>
    <row r="1073" spans="1:10" ht="38.25" x14ac:dyDescent="0.2">
      <c r="A1073" s="87" t="s">
        <v>781</v>
      </c>
      <c r="B1073" s="88" t="s">
        <v>919</v>
      </c>
      <c r="C1073" s="87" t="s">
        <v>15</v>
      </c>
      <c r="D1073" s="87" t="s">
        <v>920</v>
      </c>
      <c r="E1073" s="126" t="s">
        <v>794</v>
      </c>
      <c r="F1073" s="126"/>
      <c r="G1073" s="89" t="s">
        <v>785</v>
      </c>
      <c r="H1073" s="90">
        <v>3.3700000000000001E-2</v>
      </c>
      <c r="I1073" s="91">
        <v>27.56</v>
      </c>
      <c r="J1073" s="91">
        <v>0.92</v>
      </c>
    </row>
    <row r="1074" spans="1:10" ht="38.25" x14ac:dyDescent="0.2">
      <c r="A1074" s="92"/>
      <c r="B1074" s="92"/>
      <c r="C1074" s="92"/>
      <c r="D1074" s="92"/>
      <c r="E1074" s="92" t="s">
        <v>801</v>
      </c>
      <c r="F1074" s="93">
        <v>132.82</v>
      </c>
      <c r="G1074" s="92" t="s">
        <v>802</v>
      </c>
      <c r="H1074" s="93">
        <v>0</v>
      </c>
      <c r="I1074" s="92" t="s">
        <v>803</v>
      </c>
      <c r="J1074" s="93">
        <v>132.82</v>
      </c>
    </row>
    <row r="1075" spans="1:10" ht="38.25" x14ac:dyDescent="0.2">
      <c r="A1075" s="92"/>
      <c r="B1075" s="92"/>
      <c r="C1075" s="92"/>
      <c r="D1075" s="92"/>
      <c r="E1075" s="92" t="s">
        <v>804</v>
      </c>
      <c r="F1075" s="93">
        <v>170.87</v>
      </c>
      <c r="G1075" s="92"/>
      <c r="H1075" s="127" t="s">
        <v>805</v>
      </c>
      <c r="I1075" s="127"/>
      <c r="J1075" s="93">
        <v>763.79</v>
      </c>
    </row>
    <row r="1076" spans="1:10" ht="15" thickBot="1" x14ac:dyDescent="0.25">
      <c r="A1076" s="77"/>
      <c r="B1076" s="77"/>
      <c r="C1076" s="77"/>
      <c r="D1076" s="77"/>
      <c r="E1076" s="77"/>
      <c r="F1076" s="77"/>
      <c r="G1076" s="77" t="s">
        <v>806</v>
      </c>
      <c r="H1076" s="94">
        <v>1</v>
      </c>
      <c r="I1076" s="77" t="s">
        <v>807</v>
      </c>
      <c r="J1076" s="78">
        <v>763.79</v>
      </c>
    </row>
    <row r="1077" spans="1:10" ht="15" thickTop="1" x14ac:dyDescent="0.2">
      <c r="A1077" s="95"/>
      <c r="B1077" s="95"/>
      <c r="C1077" s="95"/>
      <c r="D1077" s="95"/>
      <c r="E1077" s="95"/>
      <c r="F1077" s="95"/>
      <c r="G1077" s="95"/>
      <c r="H1077" s="95"/>
      <c r="I1077" s="95"/>
      <c r="J1077" s="95"/>
    </row>
    <row r="1078" spans="1:10" ht="15" x14ac:dyDescent="0.2">
      <c r="A1078" s="75" t="s">
        <v>335</v>
      </c>
      <c r="B1078" s="17" t="s">
        <v>11</v>
      </c>
      <c r="C1078" s="75" t="s">
        <v>12</v>
      </c>
      <c r="D1078" s="75" t="s">
        <v>2</v>
      </c>
      <c r="E1078" s="124" t="s">
        <v>779</v>
      </c>
      <c r="F1078" s="124"/>
      <c r="G1078" s="76" t="s">
        <v>3</v>
      </c>
      <c r="H1078" s="17" t="s">
        <v>4</v>
      </c>
      <c r="I1078" s="17" t="s">
        <v>13</v>
      </c>
      <c r="J1078" s="17" t="s">
        <v>17</v>
      </c>
    </row>
    <row r="1079" spans="1:10" ht="25.5" x14ac:dyDescent="0.2">
      <c r="A1079" s="19" t="s">
        <v>780</v>
      </c>
      <c r="B1079" s="20" t="s">
        <v>336</v>
      </c>
      <c r="C1079" s="19" t="s">
        <v>15</v>
      </c>
      <c r="D1079" s="19" t="s">
        <v>337</v>
      </c>
      <c r="E1079" s="125">
        <v>40.020000000000003</v>
      </c>
      <c r="F1079" s="125"/>
      <c r="G1079" s="21" t="s">
        <v>32</v>
      </c>
      <c r="H1079" s="86">
        <v>1</v>
      </c>
      <c r="I1079" s="82">
        <v>87.34</v>
      </c>
      <c r="J1079" s="82">
        <v>87.34</v>
      </c>
    </row>
    <row r="1080" spans="1:10" ht="38.25" x14ac:dyDescent="0.2">
      <c r="A1080" s="87" t="s">
        <v>781</v>
      </c>
      <c r="B1080" s="88" t="s">
        <v>814</v>
      </c>
      <c r="C1080" s="87" t="s">
        <v>15</v>
      </c>
      <c r="D1080" s="87" t="s">
        <v>815</v>
      </c>
      <c r="E1080" s="126" t="s">
        <v>784</v>
      </c>
      <c r="F1080" s="126"/>
      <c r="G1080" s="89" t="s">
        <v>785</v>
      </c>
      <c r="H1080" s="90">
        <v>0.3</v>
      </c>
      <c r="I1080" s="91">
        <v>27.08</v>
      </c>
      <c r="J1080" s="91">
        <v>8.1199999999999992</v>
      </c>
    </row>
    <row r="1081" spans="1:10" ht="38.25" x14ac:dyDescent="0.2">
      <c r="A1081" s="87" t="s">
        <v>781</v>
      </c>
      <c r="B1081" s="88" t="s">
        <v>812</v>
      </c>
      <c r="C1081" s="87" t="s">
        <v>15</v>
      </c>
      <c r="D1081" s="87" t="s">
        <v>813</v>
      </c>
      <c r="E1081" s="126" t="s">
        <v>784</v>
      </c>
      <c r="F1081" s="126"/>
      <c r="G1081" s="89" t="s">
        <v>785</v>
      </c>
      <c r="H1081" s="90">
        <v>0.3</v>
      </c>
      <c r="I1081" s="91">
        <v>18.57</v>
      </c>
      <c r="J1081" s="91">
        <v>5.57</v>
      </c>
    </row>
    <row r="1082" spans="1:10" ht="38.25" x14ac:dyDescent="0.2">
      <c r="A1082" s="87" t="s">
        <v>781</v>
      </c>
      <c r="B1082" s="88" t="s">
        <v>1193</v>
      </c>
      <c r="C1082" s="87" t="s">
        <v>15</v>
      </c>
      <c r="D1082" s="87" t="s">
        <v>1194</v>
      </c>
      <c r="E1082" s="126" t="s">
        <v>794</v>
      </c>
      <c r="F1082" s="126"/>
      <c r="G1082" s="89" t="s">
        <v>32</v>
      </c>
      <c r="H1082" s="90">
        <v>1</v>
      </c>
      <c r="I1082" s="91">
        <v>73.650000000000006</v>
      </c>
      <c r="J1082" s="91">
        <v>73.650000000000006</v>
      </c>
    </row>
    <row r="1083" spans="1:10" ht="38.25" x14ac:dyDescent="0.2">
      <c r="A1083" s="92"/>
      <c r="B1083" s="92"/>
      <c r="C1083" s="92"/>
      <c r="D1083" s="92"/>
      <c r="E1083" s="92" t="s">
        <v>801</v>
      </c>
      <c r="F1083" s="93">
        <v>13.69</v>
      </c>
      <c r="G1083" s="92" t="s">
        <v>802</v>
      </c>
      <c r="H1083" s="93">
        <v>0</v>
      </c>
      <c r="I1083" s="92" t="s">
        <v>803</v>
      </c>
      <c r="J1083" s="93">
        <v>13.69</v>
      </c>
    </row>
    <row r="1084" spans="1:10" ht="38.25" x14ac:dyDescent="0.2">
      <c r="A1084" s="92"/>
      <c r="B1084" s="92"/>
      <c r="C1084" s="92"/>
      <c r="D1084" s="92"/>
      <c r="E1084" s="92" t="s">
        <v>804</v>
      </c>
      <c r="F1084" s="93">
        <v>25.17</v>
      </c>
      <c r="G1084" s="92"/>
      <c r="H1084" s="127" t="s">
        <v>805</v>
      </c>
      <c r="I1084" s="127"/>
      <c r="J1084" s="93">
        <v>112.51</v>
      </c>
    </row>
    <row r="1085" spans="1:10" ht="15" thickBot="1" x14ac:dyDescent="0.25">
      <c r="A1085" s="77"/>
      <c r="B1085" s="77"/>
      <c r="C1085" s="77"/>
      <c r="D1085" s="77"/>
      <c r="E1085" s="77"/>
      <c r="F1085" s="77"/>
      <c r="G1085" s="77" t="s">
        <v>806</v>
      </c>
      <c r="H1085" s="94">
        <v>2</v>
      </c>
      <c r="I1085" s="77" t="s">
        <v>807</v>
      </c>
      <c r="J1085" s="78">
        <v>225.02</v>
      </c>
    </row>
    <row r="1086" spans="1:10" ht="15" thickTop="1" x14ac:dyDescent="0.2">
      <c r="A1086" s="95"/>
      <c r="B1086" s="95"/>
      <c r="C1086" s="95"/>
      <c r="D1086" s="95"/>
      <c r="E1086" s="95"/>
      <c r="F1086" s="95"/>
      <c r="G1086" s="95"/>
      <c r="H1086" s="95"/>
      <c r="I1086" s="95"/>
      <c r="J1086" s="95"/>
    </row>
    <row r="1087" spans="1:10" x14ac:dyDescent="0.2">
      <c r="A1087" s="18" t="s">
        <v>338</v>
      </c>
      <c r="B1087" s="18"/>
      <c r="C1087" s="18"/>
      <c r="D1087" s="18" t="s">
        <v>339</v>
      </c>
      <c r="E1087" s="18"/>
      <c r="F1087" s="122"/>
      <c r="G1087" s="122"/>
      <c r="H1087" s="39"/>
      <c r="I1087" s="18"/>
      <c r="J1087" s="80">
        <v>2543.17</v>
      </c>
    </row>
    <row r="1088" spans="1:10" ht="15" x14ac:dyDescent="0.2">
      <c r="A1088" s="75" t="s">
        <v>340</v>
      </c>
      <c r="B1088" s="17" t="s">
        <v>11</v>
      </c>
      <c r="C1088" s="75" t="s">
        <v>12</v>
      </c>
      <c r="D1088" s="75" t="s">
        <v>2</v>
      </c>
      <c r="E1088" s="124" t="s">
        <v>779</v>
      </c>
      <c r="F1088" s="124"/>
      <c r="G1088" s="76" t="s">
        <v>3</v>
      </c>
      <c r="H1088" s="17" t="s">
        <v>4</v>
      </c>
      <c r="I1088" s="17" t="s">
        <v>13</v>
      </c>
      <c r="J1088" s="17" t="s">
        <v>17</v>
      </c>
    </row>
    <row r="1089" spans="1:10" ht="25.5" x14ac:dyDescent="0.2">
      <c r="A1089" s="19" t="s">
        <v>780</v>
      </c>
      <c r="B1089" s="20" t="s">
        <v>341</v>
      </c>
      <c r="C1089" s="19" t="s">
        <v>15</v>
      </c>
      <c r="D1089" s="19" t="s">
        <v>342</v>
      </c>
      <c r="E1089" s="125">
        <v>38.19</v>
      </c>
      <c r="F1089" s="125"/>
      <c r="G1089" s="21" t="s">
        <v>78</v>
      </c>
      <c r="H1089" s="86">
        <v>1</v>
      </c>
      <c r="I1089" s="82">
        <v>16.21</v>
      </c>
      <c r="J1089" s="82">
        <v>16.21</v>
      </c>
    </row>
    <row r="1090" spans="1:10" ht="38.25" x14ac:dyDescent="0.2">
      <c r="A1090" s="87" t="s">
        <v>781</v>
      </c>
      <c r="B1090" s="88" t="s">
        <v>814</v>
      </c>
      <c r="C1090" s="87" t="s">
        <v>15</v>
      </c>
      <c r="D1090" s="87" t="s">
        <v>815</v>
      </c>
      <c r="E1090" s="126" t="s">
        <v>784</v>
      </c>
      <c r="F1090" s="126"/>
      <c r="G1090" s="89" t="s">
        <v>785</v>
      </c>
      <c r="H1090" s="90">
        <v>0.3</v>
      </c>
      <c r="I1090" s="91">
        <v>27.08</v>
      </c>
      <c r="J1090" s="91">
        <v>8.1199999999999992</v>
      </c>
    </row>
    <row r="1091" spans="1:10" ht="38.25" x14ac:dyDescent="0.2">
      <c r="A1091" s="87" t="s">
        <v>781</v>
      </c>
      <c r="B1091" s="88" t="s">
        <v>812</v>
      </c>
      <c r="C1091" s="87" t="s">
        <v>15</v>
      </c>
      <c r="D1091" s="87" t="s">
        <v>813</v>
      </c>
      <c r="E1091" s="126" t="s">
        <v>784</v>
      </c>
      <c r="F1091" s="126"/>
      <c r="G1091" s="89" t="s">
        <v>785</v>
      </c>
      <c r="H1091" s="90">
        <v>0.3</v>
      </c>
      <c r="I1091" s="91">
        <v>18.57</v>
      </c>
      <c r="J1091" s="91">
        <v>5.57</v>
      </c>
    </row>
    <row r="1092" spans="1:10" ht="38.25" x14ac:dyDescent="0.2">
      <c r="A1092" s="87" t="s">
        <v>781</v>
      </c>
      <c r="B1092" s="88" t="s">
        <v>1195</v>
      </c>
      <c r="C1092" s="87" t="s">
        <v>15</v>
      </c>
      <c r="D1092" s="87" t="s">
        <v>1196</v>
      </c>
      <c r="E1092" s="126" t="s">
        <v>794</v>
      </c>
      <c r="F1092" s="126"/>
      <c r="G1092" s="89" t="s">
        <v>78</v>
      </c>
      <c r="H1092" s="90">
        <v>1.05</v>
      </c>
      <c r="I1092" s="91">
        <v>2.4</v>
      </c>
      <c r="J1092" s="91">
        <v>2.52</v>
      </c>
    </row>
    <row r="1093" spans="1:10" ht="38.25" x14ac:dyDescent="0.2">
      <c r="A1093" s="92"/>
      <c r="B1093" s="92"/>
      <c r="C1093" s="92"/>
      <c r="D1093" s="92"/>
      <c r="E1093" s="92" t="s">
        <v>801</v>
      </c>
      <c r="F1093" s="93">
        <v>13.69</v>
      </c>
      <c r="G1093" s="92" t="s">
        <v>802</v>
      </c>
      <c r="H1093" s="93">
        <v>0</v>
      </c>
      <c r="I1093" s="92" t="s">
        <v>803</v>
      </c>
      <c r="J1093" s="93">
        <v>13.69</v>
      </c>
    </row>
    <row r="1094" spans="1:10" ht="38.25" x14ac:dyDescent="0.2">
      <c r="A1094" s="92"/>
      <c r="B1094" s="92"/>
      <c r="C1094" s="92"/>
      <c r="D1094" s="92"/>
      <c r="E1094" s="92" t="s">
        <v>804</v>
      </c>
      <c r="F1094" s="93">
        <v>4.67</v>
      </c>
      <c r="G1094" s="92"/>
      <c r="H1094" s="127" t="s">
        <v>805</v>
      </c>
      <c r="I1094" s="127"/>
      <c r="J1094" s="93">
        <v>20.88</v>
      </c>
    </row>
    <row r="1095" spans="1:10" ht="15" thickBot="1" x14ac:dyDescent="0.25">
      <c r="A1095" s="77"/>
      <c r="B1095" s="77"/>
      <c r="C1095" s="77"/>
      <c r="D1095" s="77"/>
      <c r="E1095" s="77"/>
      <c r="F1095" s="77"/>
      <c r="G1095" s="77" t="s">
        <v>806</v>
      </c>
      <c r="H1095" s="94">
        <v>25</v>
      </c>
      <c r="I1095" s="77" t="s">
        <v>807</v>
      </c>
      <c r="J1095" s="78">
        <v>522</v>
      </c>
    </row>
    <row r="1096" spans="1:10" ht="15" thickTop="1" x14ac:dyDescent="0.2">
      <c r="A1096" s="95"/>
      <c r="B1096" s="95"/>
      <c r="C1096" s="95"/>
      <c r="D1096" s="95"/>
      <c r="E1096" s="95"/>
      <c r="F1096" s="95"/>
      <c r="G1096" s="95"/>
      <c r="H1096" s="95"/>
      <c r="I1096" s="95"/>
      <c r="J1096" s="95"/>
    </row>
    <row r="1097" spans="1:10" ht="15" x14ac:dyDescent="0.2">
      <c r="A1097" s="75" t="s">
        <v>343</v>
      </c>
      <c r="B1097" s="17" t="s">
        <v>11</v>
      </c>
      <c r="C1097" s="75" t="s">
        <v>12</v>
      </c>
      <c r="D1097" s="75" t="s">
        <v>2</v>
      </c>
      <c r="E1097" s="124" t="s">
        <v>779</v>
      </c>
      <c r="F1097" s="124"/>
      <c r="G1097" s="76" t="s">
        <v>3</v>
      </c>
      <c r="H1097" s="17" t="s">
        <v>4</v>
      </c>
      <c r="I1097" s="17" t="s">
        <v>13</v>
      </c>
      <c r="J1097" s="17" t="s">
        <v>17</v>
      </c>
    </row>
    <row r="1098" spans="1:10" ht="25.5" x14ac:dyDescent="0.2">
      <c r="A1098" s="19" t="s">
        <v>780</v>
      </c>
      <c r="B1098" s="20" t="s">
        <v>344</v>
      </c>
      <c r="C1098" s="19" t="s">
        <v>15</v>
      </c>
      <c r="D1098" s="19" t="s">
        <v>345</v>
      </c>
      <c r="E1098" s="125">
        <v>38.19</v>
      </c>
      <c r="F1098" s="125"/>
      <c r="G1098" s="21" t="s">
        <v>78</v>
      </c>
      <c r="H1098" s="86">
        <v>1</v>
      </c>
      <c r="I1098" s="82">
        <v>16.04</v>
      </c>
      <c r="J1098" s="82">
        <v>16.04</v>
      </c>
    </row>
    <row r="1099" spans="1:10" ht="38.25" x14ac:dyDescent="0.2">
      <c r="A1099" s="87" t="s">
        <v>781</v>
      </c>
      <c r="B1099" s="88" t="s">
        <v>812</v>
      </c>
      <c r="C1099" s="87" t="s">
        <v>15</v>
      </c>
      <c r="D1099" s="87" t="s">
        <v>813</v>
      </c>
      <c r="E1099" s="126" t="s">
        <v>784</v>
      </c>
      <c r="F1099" s="126"/>
      <c r="G1099" s="89" t="s">
        <v>785</v>
      </c>
      <c r="H1099" s="90">
        <v>0.3</v>
      </c>
      <c r="I1099" s="91">
        <v>18.57</v>
      </c>
      <c r="J1099" s="91">
        <v>5.57</v>
      </c>
    </row>
    <row r="1100" spans="1:10" ht="38.25" x14ac:dyDescent="0.2">
      <c r="A1100" s="87" t="s">
        <v>781</v>
      </c>
      <c r="B1100" s="88" t="s">
        <v>814</v>
      </c>
      <c r="C1100" s="87" t="s">
        <v>15</v>
      </c>
      <c r="D1100" s="87" t="s">
        <v>815</v>
      </c>
      <c r="E1100" s="126" t="s">
        <v>784</v>
      </c>
      <c r="F1100" s="126"/>
      <c r="G1100" s="89" t="s">
        <v>785</v>
      </c>
      <c r="H1100" s="90">
        <v>0.3</v>
      </c>
      <c r="I1100" s="91">
        <v>27.08</v>
      </c>
      <c r="J1100" s="91">
        <v>8.1199999999999992</v>
      </c>
    </row>
    <row r="1101" spans="1:10" ht="38.25" x14ac:dyDescent="0.2">
      <c r="A1101" s="87" t="s">
        <v>781</v>
      </c>
      <c r="B1101" s="88" t="s">
        <v>1197</v>
      </c>
      <c r="C1101" s="87" t="s">
        <v>15</v>
      </c>
      <c r="D1101" s="87" t="s">
        <v>1198</v>
      </c>
      <c r="E1101" s="126" t="s">
        <v>794</v>
      </c>
      <c r="F1101" s="126"/>
      <c r="G1101" s="89" t="s">
        <v>78</v>
      </c>
      <c r="H1101" s="90">
        <v>1.05</v>
      </c>
      <c r="I1101" s="91">
        <v>2.2400000000000002</v>
      </c>
      <c r="J1101" s="91">
        <v>2.35</v>
      </c>
    </row>
    <row r="1102" spans="1:10" ht="38.25" x14ac:dyDescent="0.2">
      <c r="A1102" s="92"/>
      <c r="B1102" s="92"/>
      <c r="C1102" s="92"/>
      <c r="D1102" s="92"/>
      <c r="E1102" s="92" t="s">
        <v>801</v>
      </c>
      <c r="F1102" s="93">
        <v>13.69</v>
      </c>
      <c r="G1102" s="92" t="s">
        <v>802</v>
      </c>
      <c r="H1102" s="93">
        <v>0</v>
      </c>
      <c r="I1102" s="92" t="s">
        <v>803</v>
      </c>
      <c r="J1102" s="93">
        <v>13.69</v>
      </c>
    </row>
    <row r="1103" spans="1:10" ht="38.25" x14ac:dyDescent="0.2">
      <c r="A1103" s="92"/>
      <c r="B1103" s="92"/>
      <c r="C1103" s="92"/>
      <c r="D1103" s="92"/>
      <c r="E1103" s="92" t="s">
        <v>804</v>
      </c>
      <c r="F1103" s="93">
        <v>4.62</v>
      </c>
      <c r="G1103" s="92"/>
      <c r="H1103" s="127" t="s">
        <v>805</v>
      </c>
      <c r="I1103" s="127"/>
      <c r="J1103" s="93">
        <v>20.66</v>
      </c>
    </row>
    <row r="1104" spans="1:10" ht="15" thickBot="1" x14ac:dyDescent="0.25">
      <c r="A1104" s="77"/>
      <c r="B1104" s="77"/>
      <c r="C1104" s="77"/>
      <c r="D1104" s="77"/>
      <c r="E1104" s="77"/>
      <c r="F1104" s="77"/>
      <c r="G1104" s="77" t="s">
        <v>806</v>
      </c>
      <c r="H1104" s="94">
        <v>85</v>
      </c>
      <c r="I1104" s="77" t="s">
        <v>807</v>
      </c>
      <c r="J1104" s="78">
        <v>1756.1</v>
      </c>
    </row>
    <row r="1105" spans="1:10" ht="15" thickTop="1" x14ac:dyDescent="0.2">
      <c r="A1105" s="95"/>
      <c r="B1105" s="95"/>
      <c r="C1105" s="95"/>
      <c r="D1105" s="95"/>
      <c r="E1105" s="95"/>
      <c r="F1105" s="95"/>
      <c r="G1105" s="95"/>
      <c r="H1105" s="95"/>
      <c r="I1105" s="95"/>
      <c r="J1105" s="95"/>
    </row>
    <row r="1106" spans="1:10" ht="15" x14ac:dyDescent="0.2">
      <c r="A1106" s="75" t="s">
        <v>346</v>
      </c>
      <c r="B1106" s="17" t="s">
        <v>11</v>
      </c>
      <c r="C1106" s="75" t="s">
        <v>12</v>
      </c>
      <c r="D1106" s="75" t="s">
        <v>2</v>
      </c>
      <c r="E1106" s="124" t="s">
        <v>779</v>
      </c>
      <c r="F1106" s="124"/>
      <c r="G1106" s="76" t="s">
        <v>3</v>
      </c>
      <c r="H1106" s="17" t="s">
        <v>4</v>
      </c>
      <c r="I1106" s="17" t="s">
        <v>13</v>
      </c>
      <c r="J1106" s="17" t="s">
        <v>17</v>
      </c>
    </row>
    <row r="1107" spans="1:10" ht="25.5" x14ac:dyDescent="0.2">
      <c r="A1107" s="19" t="s">
        <v>780</v>
      </c>
      <c r="B1107" s="20" t="s">
        <v>347</v>
      </c>
      <c r="C1107" s="19" t="s">
        <v>15</v>
      </c>
      <c r="D1107" s="19" t="s">
        <v>348</v>
      </c>
      <c r="E1107" s="125">
        <v>38.130000000000003</v>
      </c>
      <c r="F1107" s="125"/>
      <c r="G1107" s="21" t="s">
        <v>78</v>
      </c>
      <c r="H1107" s="86">
        <v>1</v>
      </c>
      <c r="I1107" s="82">
        <v>15.83</v>
      </c>
      <c r="J1107" s="82">
        <v>15.83</v>
      </c>
    </row>
    <row r="1108" spans="1:10" ht="38.25" x14ac:dyDescent="0.2">
      <c r="A1108" s="87" t="s">
        <v>781</v>
      </c>
      <c r="B1108" s="88" t="s">
        <v>814</v>
      </c>
      <c r="C1108" s="87" t="s">
        <v>15</v>
      </c>
      <c r="D1108" s="87" t="s">
        <v>815</v>
      </c>
      <c r="E1108" s="126" t="s">
        <v>784</v>
      </c>
      <c r="F1108" s="126"/>
      <c r="G1108" s="89" t="s">
        <v>785</v>
      </c>
      <c r="H1108" s="90">
        <v>0.04</v>
      </c>
      <c r="I1108" s="91">
        <v>27.08</v>
      </c>
      <c r="J1108" s="91">
        <v>1.08</v>
      </c>
    </row>
    <row r="1109" spans="1:10" ht="38.25" x14ac:dyDescent="0.2">
      <c r="A1109" s="87" t="s">
        <v>781</v>
      </c>
      <c r="B1109" s="88" t="s">
        <v>812</v>
      </c>
      <c r="C1109" s="87" t="s">
        <v>15</v>
      </c>
      <c r="D1109" s="87" t="s">
        <v>813</v>
      </c>
      <c r="E1109" s="126" t="s">
        <v>784</v>
      </c>
      <c r="F1109" s="126"/>
      <c r="G1109" s="89" t="s">
        <v>785</v>
      </c>
      <c r="H1109" s="90">
        <v>0.04</v>
      </c>
      <c r="I1109" s="91">
        <v>18.57</v>
      </c>
      <c r="J1109" s="91">
        <v>0.74</v>
      </c>
    </row>
    <row r="1110" spans="1:10" ht="38.25" x14ac:dyDescent="0.2">
      <c r="A1110" s="87" t="s">
        <v>781</v>
      </c>
      <c r="B1110" s="88" t="s">
        <v>1199</v>
      </c>
      <c r="C1110" s="87" t="s">
        <v>15</v>
      </c>
      <c r="D1110" s="87" t="s">
        <v>1200</v>
      </c>
      <c r="E1110" s="126" t="s">
        <v>794</v>
      </c>
      <c r="F1110" s="126"/>
      <c r="G1110" s="89" t="s">
        <v>78</v>
      </c>
      <c r="H1110" s="90">
        <v>1.03</v>
      </c>
      <c r="I1110" s="91">
        <v>13.61</v>
      </c>
      <c r="J1110" s="91">
        <v>14.01</v>
      </c>
    </row>
    <row r="1111" spans="1:10" ht="38.25" x14ac:dyDescent="0.2">
      <c r="A1111" s="92"/>
      <c r="B1111" s="92"/>
      <c r="C1111" s="92"/>
      <c r="D1111" s="92"/>
      <c r="E1111" s="92" t="s">
        <v>801</v>
      </c>
      <c r="F1111" s="93">
        <v>1.82</v>
      </c>
      <c r="G1111" s="92" t="s">
        <v>802</v>
      </c>
      <c r="H1111" s="93">
        <v>0</v>
      </c>
      <c r="I1111" s="92" t="s">
        <v>803</v>
      </c>
      <c r="J1111" s="93">
        <v>1.82</v>
      </c>
    </row>
    <row r="1112" spans="1:10" ht="38.25" x14ac:dyDescent="0.2">
      <c r="A1112" s="92"/>
      <c r="B1112" s="92"/>
      <c r="C1112" s="92"/>
      <c r="D1112" s="92"/>
      <c r="E1112" s="92" t="s">
        <v>804</v>
      </c>
      <c r="F1112" s="93">
        <v>4.5599999999999996</v>
      </c>
      <c r="G1112" s="92"/>
      <c r="H1112" s="127" t="s">
        <v>805</v>
      </c>
      <c r="I1112" s="127"/>
      <c r="J1112" s="93">
        <v>20.39</v>
      </c>
    </row>
    <row r="1113" spans="1:10" ht="15" thickBot="1" x14ac:dyDescent="0.25">
      <c r="A1113" s="77"/>
      <c r="B1113" s="77"/>
      <c r="C1113" s="77"/>
      <c r="D1113" s="77"/>
      <c r="E1113" s="77"/>
      <c r="F1113" s="77"/>
      <c r="G1113" s="77" t="s">
        <v>806</v>
      </c>
      <c r="H1113" s="94">
        <v>13</v>
      </c>
      <c r="I1113" s="77" t="s">
        <v>807</v>
      </c>
      <c r="J1113" s="78">
        <v>265.07</v>
      </c>
    </row>
    <row r="1114" spans="1:10" ht="15" thickTop="1" x14ac:dyDescent="0.2">
      <c r="A1114" s="95"/>
      <c r="B1114" s="95"/>
      <c r="C1114" s="95"/>
      <c r="D1114" s="95"/>
      <c r="E1114" s="95"/>
      <c r="F1114" s="95"/>
      <c r="G1114" s="95"/>
      <c r="H1114" s="95"/>
      <c r="I1114" s="95"/>
      <c r="J1114" s="95"/>
    </row>
    <row r="1115" spans="1:10" x14ac:dyDescent="0.2">
      <c r="A1115" s="18" t="s">
        <v>349</v>
      </c>
      <c r="B1115" s="18"/>
      <c r="C1115" s="18"/>
      <c r="D1115" s="18" t="s">
        <v>350</v>
      </c>
      <c r="E1115" s="18"/>
      <c r="F1115" s="122"/>
      <c r="G1115" s="122"/>
      <c r="H1115" s="39"/>
      <c r="I1115" s="18"/>
      <c r="J1115" s="80">
        <v>85.14</v>
      </c>
    </row>
    <row r="1116" spans="1:10" ht="15" x14ac:dyDescent="0.2">
      <c r="A1116" s="75" t="s">
        <v>351</v>
      </c>
      <c r="B1116" s="17" t="s">
        <v>11</v>
      </c>
      <c r="C1116" s="75" t="s">
        <v>12</v>
      </c>
      <c r="D1116" s="75" t="s">
        <v>2</v>
      </c>
      <c r="E1116" s="124" t="s">
        <v>779</v>
      </c>
      <c r="F1116" s="124"/>
      <c r="G1116" s="76" t="s">
        <v>3</v>
      </c>
      <c r="H1116" s="17" t="s">
        <v>4</v>
      </c>
      <c r="I1116" s="17" t="s">
        <v>13</v>
      </c>
      <c r="J1116" s="17" t="s">
        <v>17</v>
      </c>
    </row>
    <row r="1117" spans="1:10" ht="25.5" x14ac:dyDescent="0.2">
      <c r="A1117" s="19" t="s">
        <v>780</v>
      </c>
      <c r="B1117" s="20" t="s">
        <v>352</v>
      </c>
      <c r="C1117" s="19" t="s">
        <v>15</v>
      </c>
      <c r="D1117" s="19" t="s">
        <v>353</v>
      </c>
      <c r="E1117" s="125">
        <v>40.07</v>
      </c>
      <c r="F1117" s="125"/>
      <c r="G1117" s="21" t="s">
        <v>32</v>
      </c>
      <c r="H1117" s="86">
        <v>1</v>
      </c>
      <c r="I1117" s="82">
        <v>14.82</v>
      </c>
      <c r="J1117" s="82">
        <v>14.82</v>
      </c>
    </row>
    <row r="1118" spans="1:10" ht="38.25" x14ac:dyDescent="0.2">
      <c r="A1118" s="87" t="s">
        <v>781</v>
      </c>
      <c r="B1118" s="88" t="s">
        <v>814</v>
      </c>
      <c r="C1118" s="87" t="s">
        <v>15</v>
      </c>
      <c r="D1118" s="87" t="s">
        <v>815</v>
      </c>
      <c r="E1118" s="126" t="s">
        <v>784</v>
      </c>
      <c r="F1118" s="126"/>
      <c r="G1118" s="89" t="s">
        <v>785</v>
      </c>
      <c r="H1118" s="90">
        <v>0.25</v>
      </c>
      <c r="I1118" s="91">
        <v>27.08</v>
      </c>
      <c r="J1118" s="91">
        <v>6.77</v>
      </c>
    </row>
    <row r="1119" spans="1:10" ht="38.25" x14ac:dyDescent="0.2">
      <c r="A1119" s="87" t="s">
        <v>781</v>
      </c>
      <c r="B1119" s="88" t="s">
        <v>812</v>
      </c>
      <c r="C1119" s="87" t="s">
        <v>15</v>
      </c>
      <c r="D1119" s="87" t="s">
        <v>813</v>
      </c>
      <c r="E1119" s="126" t="s">
        <v>784</v>
      </c>
      <c r="F1119" s="126"/>
      <c r="G1119" s="89" t="s">
        <v>785</v>
      </c>
      <c r="H1119" s="90">
        <v>0.25</v>
      </c>
      <c r="I1119" s="91">
        <v>18.57</v>
      </c>
      <c r="J1119" s="91">
        <v>4.6399999999999997</v>
      </c>
    </row>
    <row r="1120" spans="1:10" ht="38.25" x14ac:dyDescent="0.2">
      <c r="A1120" s="87" t="s">
        <v>781</v>
      </c>
      <c r="B1120" s="88" t="s">
        <v>1201</v>
      </c>
      <c r="C1120" s="87" t="s">
        <v>15</v>
      </c>
      <c r="D1120" s="87" t="s">
        <v>353</v>
      </c>
      <c r="E1120" s="126" t="s">
        <v>794</v>
      </c>
      <c r="F1120" s="126"/>
      <c r="G1120" s="89" t="s">
        <v>32</v>
      </c>
      <c r="H1120" s="90">
        <v>1</v>
      </c>
      <c r="I1120" s="91">
        <v>3.41</v>
      </c>
      <c r="J1120" s="91">
        <v>3.41</v>
      </c>
    </row>
    <row r="1121" spans="1:10" ht="38.25" x14ac:dyDescent="0.2">
      <c r="A1121" s="92"/>
      <c r="B1121" s="92"/>
      <c r="C1121" s="92"/>
      <c r="D1121" s="92"/>
      <c r="E1121" s="92" t="s">
        <v>801</v>
      </c>
      <c r="F1121" s="93">
        <v>11.41</v>
      </c>
      <c r="G1121" s="92" t="s">
        <v>802</v>
      </c>
      <c r="H1121" s="93">
        <v>0</v>
      </c>
      <c r="I1121" s="92" t="s">
        <v>803</v>
      </c>
      <c r="J1121" s="93">
        <v>11.41</v>
      </c>
    </row>
    <row r="1122" spans="1:10" ht="38.25" x14ac:dyDescent="0.2">
      <c r="A1122" s="92"/>
      <c r="B1122" s="92"/>
      <c r="C1122" s="92"/>
      <c r="D1122" s="92"/>
      <c r="E1122" s="92" t="s">
        <v>804</v>
      </c>
      <c r="F1122" s="93">
        <v>4.2699999999999996</v>
      </c>
      <c r="G1122" s="92"/>
      <c r="H1122" s="127" t="s">
        <v>805</v>
      </c>
      <c r="I1122" s="127"/>
      <c r="J1122" s="93">
        <v>19.09</v>
      </c>
    </row>
    <row r="1123" spans="1:10" ht="15" thickBot="1" x14ac:dyDescent="0.25">
      <c r="A1123" s="77"/>
      <c r="B1123" s="77"/>
      <c r="C1123" s="77"/>
      <c r="D1123" s="77"/>
      <c r="E1123" s="77"/>
      <c r="F1123" s="77"/>
      <c r="G1123" s="77" t="s">
        <v>806</v>
      </c>
      <c r="H1123" s="94">
        <v>1</v>
      </c>
      <c r="I1123" s="77" t="s">
        <v>807</v>
      </c>
      <c r="J1123" s="78">
        <v>19.09</v>
      </c>
    </row>
    <row r="1124" spans="1:10" ht="15" thickTop="1" x14ac:dyDescent="0.2">
      <c r="A1124" s="95"/>
      <c r="B1124" s="95"/>
      <c r="C1124" s="95"/>
      <c r="D1124" s="95"/>
      <c r="E1124" s="95"/>
      <c r="F1124" s="95"/>
      <c r="G1124" s="95"/>
      <c r="H1124" s="95"/>
      <c r="I1124" s="95"/>
      <c r="J1124" s="95"/>
    </row>
    <row r="1125" spans="1:10" ht="15" x14ac:dyDescent="0.2">
      <c r="A1125" s="75" t="s">
        <v>354</v>
      </c>
      <c r="B1125" s="17" t="s">
        <v>11</v>
      </c>
      <c r="C1125" s="75" t="s">
        <v>12</v>
      </c>
      <c r="D1125" s="75" t="s">
        <v>2</v>
      </c>
      <c r="E1125" s="124" t="s">
        <v>779</v>
      </c>
      <c r="F1125" s="124"/>
      <c r="G1125" s="76" t="s">
        <v>3</v>
      </c>
      <c r="H1125" s="17" t="s">
        <v>4</v>
      </c>
      <c r="I1125" s="17" t="s">
        <v>13</v>
      </c>
      <c r="J1125" s="17" t="s">
        <v>17</v>
      </c>
    </row>
    <row r="1126" spans="1:10" ht="25.5" x14ac:dyDescent="0.2">
      <c r="A1126" s="19" t="s">
        <v>780</v>
      </c>
      <c r="B1126" s="20" t="s">
        <v>355</v>
      </c>
      <c r="C1126" s="19" t="s">
        <v>15</v>
      </c>
      <c r="D1126" s="19" t="s">
        <v>356</v>
      </c>
      <c r="E1126" s="125">
        <v>40.07</v>
      </c>
      <c r="F1126" s="125"/>
      <c r="G1126" s="21" t="s">
        <v>32</v>
      </c>
      <c r="H1126" s="86">
        <v>1</v>
      </c>
      <c r="I1126" s="82">
        <v>17.96</v>
      </c>
      <c r="J1126" s="82">
        <v>17.96</v>
      </c>
    </row>
    <row r="1127" spans="1:10" ht="38.25" x14ac:dyDescent="0.2">
      <c r="A1127" s="87" t="s">
        <v>781</v>
      </c>
      <c r="B1127" s="88" t="s">
        <v>814</v>
      </c>
      <c r="C1127" s="87" t="s">
        <v>15</v>
      </c>
      <c r="D1127" s="87" t="s">
        <v>815</v>
      </c>
      <c r="E1127" s="126" t="s">
        <v>784</v>
      </c>
      <c r="F1127" s="126"/>
      <c r="G1127" s="89" t="s">
        <v>785</v>
      </c>
      <c r="H1127" s="90">
        <v>0.25</v>
      </c>
      <c r="I1127" s="91">
        <v>27.08</v>
      </c>
      <c r="J1127" s="91">
        <v>6.77</v>
      </c>
    </row>
    <row r="1128" spans="1:10" ht="38.25" x14ac:dyDescent="0.2">
      <c r="A1128" s="87" t="s">
        <v>781</v>
      </c>
      <c r="B1128" s="88" t="s">
        <v>812</v>
      </c>
      <c r="C1128" s="87" t="s">
        <v>15</v>
      </c>
      <c r="D1128" s="87" t="s">
        <v>813</v>
      </c>
      <c r="E1128" s="126" t="s">
        <v>784</v>
      </c>
      <c r="F1128" s="126"/>
      <c r="G1128" s="89" t="s">
        <v>785</v>
      </c>
      <c r="H1128" s="90">
        <v>0.25</v>
      </c>
      <c r="I1128" s="91">
        <v>18.57</v>
      </c>
      <c r="J1128" s="91">
        <v>4.6399999999999997</v>
      </c>
    </row>
    <row r="1129" spans="1:10" ht="38.25" x14ac:dyDescent="0.2">
      <c r="A1129" s="87" t="s">
        <v>781</v>
      </c>
      <c r="B1129" s="88" t="s">
        <v>1202</v>
      </c>
      <c r="C1129" s="87" t="s">
        <v>15</v>
      </c>
      <c r="D1129" s="87" t="s">
        <v>356</v>
      </c>
      <c r="E1129" s="126" t="s">
        <v>794</v>
      </c>
      <c r="F1129" s="126"/>
      <c r="G1129" s="89" t="s">
        <v>32</v>
      </c>
      <c r="H1129" s="90">
        <v>1</v>
      </c>
      <c r="I1129" s="91">
        <v>6.55</v>
      </c>
      <c r="J1129" s="91">
        <v>6.55</v>
      </c>
    </row>
    <row r="1130" spans="1:10" ht="38.25" x14ac:dyDescent="0.2">
      <c r="A1130" s="92"/>
      <c r="B1130" s="92"/>
      <c r="C1130" s="92"/>
      <c r="D1130" s="92"/>
      <c r="E1130" s="92" t="s">
        <v>801</v>
      </c>
      <c r="F1130" s="93">
        <v>11.41</v>
      </c>
      <c r="G1130" s="92" t="s">
        <v>802</v>
      </c>
      <c r="H1130" s="93">
        <v>0</v>
      </c>
      <c r="I1130" s="92" t="s">
        <v>803</v>
      </c>
      <c r="J1130" s="93">
        <v>11.41</v>
      </c>
    </row>
    <row r="1131" spans="1:10" ht="38.25" x14ac:dyDescent="0.2">
      <c r="A1131" s="92"/>
      <c r="B1131" s="92"/>
      <c r="C1131" s="92"/>
      <c r="D1131" s="92"/>
      <c r="E1131" s="92" t="s">
        <v>804</v>
      </c>
      <c r="F1131" s="93">
        <v>5.17</v>
      </c>
      <c r="G1131" s="92"/>
      <c r="H1131" s="127" t="s">
        <v>805</v>
      </c>
      <c r="I1131" s="127"/>
      <c r="J1131" s="93">
        <v>23.13</v>
      </c>
    </row>
    <row r="1132" spans="1:10" ht="15" thickBot="1" x14ac:dyDescent="0.25">
      <c r="A1132" s="77"/>
      <c r="B1132" s="77"/>
      <c r="C1132" s="77"/>
      <c r="D1132" s="77"/>
      <c r="E1132" s="77"/>
      <c r="F1132" s="77"/>
      <c r="G1132" s="77" t="s">
        <v>806</v>
      </c>
      <c r="H1132" s="94">
        <v>1</v>
      </c>
      <c r="I1132" s="77" t="s">
        <v>807</v>
      </c>
      <c r="J1132" s="78">
        <v>23.13</v>
      </c>
    </row>
    <row r="1133" spans="1:10" ht="15" thickTop="1" x14ac:dyDescent="0.2">
      <c r="A1133" s="95"/>
      <c r="B1133" s="95"/>
      <c r="C1133" s="95"/>
      <c r="D1133" s="95"/>
      <c r="E1133" s="95"/>
      <c r="F1133" s="95"/>
      <c r="G1133" s="95"/>
      <c r="H1133" s="95"/>
      <c r="I1133" s="95"/>
      <c r="J1133" s="95"/>
    </row>
    <row r="1134" spans="1:10" ht="15" x14ac:dyDescent="0.2">
      <c r="A1134" s="75" t="s">
        <v>357</v>
      </c>
      <c r="B1134" s="17" t="s">
        <v>11</v>
      </c>
      <c r="C1134" s="75" t="s">
        <v>12</v>
      </c>
      <c r="D1134" s="75" t="s">
        <v>2</v>
      </c>
      <c r="E1134" s="124" t="s">
        <v>779</v>
      </c>
      <c r="F1134" s="124"/>
      <c r="G1134" s="76" t="s">
        <v>3</v>
      </c>
      <c r="H1134" s="17" t="s">
        <v>4</v>
      </c>
      <c r="I1134" s="17" t="s">
        <v>13</v>
      </c>
      <c r="J1134" s="17" t="s">
        <v>17</v>
      </c>
    </row>
    <row r="1135" spans="1:10" ht="25.5" x14ac:dyDescent="0.2">
      <c r="A1135" s="19" t="s">
        <v>780</v>
      </c>
      <c r="B1135" s="20" t="s">
        <v>358</v>
      </c>
      <c r="C1135" s="19" t="s">
        <v>15</v>
      </c>
      <c r="D1135" s="19" t="s">
        <v>359</v>
      </c>
      <c r="E1135" s="125">
        <v>40.01</v>
      </c>
      <c r="F1135" s="125"/>
      <c r="G1135" s="21" t="s">
        <v>32</v>
      </c>
      <c r="H1135" s="86">
        <v>1</v>
      </c>
      <c r="I1135" s="82">
        <v>16.66</v>
      </c>
      <c r="J1135" s="82">
        <v>16.66</v>
      </c>
    </row>
    <row r="1136" spans="1:10" ht="38.25" x14ac:dyDescent="0.2">
      <c r="A1136" s="87" t="s">
        <v>781</v>
      </c>
      <c r="B1136" s="88" t="s">
        <v>814</v>
      </c>
      <c r="C1136" s="87" t="s">
        <v>15</v>
      </c>
      <c r="D1136" s="87" t="s">
        <v>815</v>
      </c>
      <c r="E1136" s="126" t="s">
        <v>784</v>
      </c>
      <c r="F1136" s="126"/>
      <c r="G1136" s="89" t="s">
        <v>785</v>
      </c>
      <c r="H1136" s="90">
        <v>0.3</v>
      </c>
      <c r="I1136" s="91">
        <v>27.08</v>
      </c>
      <c r="J1136" s="91">
        <v>8.1199999999999992</v>
      </c>
    </row>
    <row r="1137" spans="1:10" ht="38.25" x14ac:dyDescent="0.2">
      <c r="A1137" s="87" t="s">
        <v>781</v>
      </c>
      <c r="B1137" s="88" t="s">
        <v>812</v>
      </c>
      <c r="C1137" s="87" t="s">
        <v>15</v>
      </c>
      <c r="D1137" s="87" t="s">
        <v>813</v>
      </c>
      <c r="E1137" s="126" t="s">
        <v>784</v>
      </c>
      <c r="F1137" s="126"/>
      <c r="G1137" s="89" t="s">
        <v>785</v>
      </c>
      <c r="H1137" s="90">
        <v>0.3</v>
      </c>
      <c r="I1137" s="91">
        <v>18.57</v>
      </c>
      <c r="J1137" s="91">
        <v>5.57</v>
      </c>
    </row>
    <row r="1138" spans="1:10" ht="38.25" x14ac:dyDescent="0.2">
      <c r="A1138" s="87" t="s">
        <v>781</v>
      </c>
      <c r="B1138" s="88" t="s">
        <v>1203</v>
      </c>
      <c r="C1138" s="87" t="s">
        <v>15</v>
      </c>
      <c r="D1138" s="87" t="s">
        <v>1204</v>
      </c>
      <c r="E1138" s="126" t="s">
        <v>794</v>
      </c>
      <c r="F1138" s="126"/>
      <c r="G1138" s="89" t="s">
        <v>32</v>
      </c>
      <c r="H1138" s="90">
        <v>1</v>
      </c>
      <c r="I1138" s="91">
        <v>2.97</v>
      </c>
      <c r="J1138" s="91">
        <v>2.97</v>
      </c>
    </row>
    <row r="1139" spans="1:10" ht="38.25" x14ac:dyDescent="0.2">
      <c r="A1139" s="92"/>
      <c r="B1139" s="92"/>
      <c r="C1139" s="92"/>
      <c r="D1139" s="92"/>
      <c r="E1139" s="92" t="s">
        <v>801</v>
      </c>
      <c r="F1139" s="93">
        <v>13.69</v>
      </c>
      <c r="G1139" s="92" t="s">
        <v>802</v>
      </c>
      <c r="H1139" s="93">
        <v>0</v>
      </c>
      <c r="I1139" s="92" t="s">
        <v>803</v>
      </c>
      <c r="J1139" s="93">
        <v>13.69</v>
      </c>
    </row>
    <row r="1140" spans="1:10" ht="38.25" x14ac:dyDescent="0.2">
      <c r="A1140" s="92"/>
      <c r="B1140" s="92"/>
      <c r="C1140" s="92"/>
      <c r="D1140" s="92"/>
      <c r="E1140" s="92" t="s">
        <v>804</v>
      </c>
      <c r="F1140" s="93">
        <v>4.8</v>
      </c>
      <c r="G1140" s="92"/>
      <c r="H1140" s="127" t="s">
        <v>805</v>
      </c>
      <c r="I1140" s="127"/>
      <c r="J1140" s="93">
        <v>21.46</v>
      </c>
    </row>
    <row r="1141" spans="1:10" ht="15" thickBot="1" x14ac:dyDescent="0.25">
      <c r="A1141" s="77"/>
      <c r="B1141" s="77"/>
      <c r="C1141" s="77"/>
      <c r="D1141" s="77"/>
      <c r="E1141" s="77"/>
      <c r="F1141" s="77"/>
      <c r="G1141" s="77" t="s">
        <v>806</v>
      </c>
      <c r="H1141" s="94">
        <v>2</v>
      </c>
      <c r="I1141" s="77" t="s">
        <v>807</v>
      </c>
      <c r="J1141" s="78">
        <v>42.92</v>
      </c>
    </row>
    <row r="1142" spans="1:10" ht="15" thickTop="1" x14ac:dyDescent="0.2">
      <c r="A1142" s="95"/>
      <c r="B1142" s="95"/>
      <c r="C1142" s="95"/>
      <c r="D1142" s="95"/>
      <c r="E1142" s="95"/>
      <c r="F1142" s="95"/>
      <c r="G1142" s="95"/>
      <c r="H1142" s="95"/>
      <c r="I1142" s="95"/>
      <c r="J1142" s="95"/>
    </row>
    <row r="1143" spans="1:10" x14ac:dyDescent="0.2">
      <c r="A1143" s="18" t="s">
        <v>360</v>
      </c>
      <c r="B1143" s="18"/>
      <c r="C1143" s="18"/>
      <c r="D1143" s="18" t="s">
        <v>361</v>
      </c>
      <c r="E1143" s="18"/>
      <c r="F1143" s="122"/>
      <c r="G1143" s="122"/>
      <c r="H1143" s="39"/>
      <c r="I1143" s="18"/>
      <c r="J1143" s="80">
        <v>11666.5</v>
      </c>
    </row>
    <row r="1144" spans="1:10" ht="15" x14ac:dyDescent="0.2">
      <c r="A1144" s="75" t="s">
        <v>362</v>
      </c>
      <c r="B1144" s="17" t="s">
        <v>11</v>
      </c>
      <c r="C1144" s="75" t="s">
        <v>12</v>
      </c>
      <c r="D1144" s="75" t="s">
        <v>2</v>
      </c>
      <c r="E1144" s="124" t="s">
        <v>779</v>
      </c>
      <c r="F1144" s="124"/>
      <c r="G1144" s="76" t="s">
        <v>3</v>
      </c>
      <c r="H1144" s="17" t="s">
        <v>4</v>
      </c>
      <c r="I1144" s="17" t="s">
        <v>13</v>
      </c>
      <c r="J1144" s="17" t="s">
        <v>17</v>
      </c>
    </row>
    <row r="1145" spans="1:10" ht="25.5" x14ac:dyDescent="0.2">
      <c r="A1145" s="19" t="s">
        <v>780</v>
      </c>
      <c r="B1145" s="20" t="s">
        <v>363</v>
      </c>
      <c r="C1145" s="19" t="s">
        <v>15</v>
      </c>
      <c r="D1145" s="19" t="s">
        <v>364</v>
      </c>
      <c r="E1145" s="125">
        <v>39.24</v>
      </c>
      <c r="F1145" s="125"/>
      <c r="G1145" s="21" t="s">
        <v>78</v>
      </c>
      <c r="H1145" s="86">
        <v>1</v>
      </c>
      <c r="I1145" s="82">
        <v>10.94</v>
      </c>
      <c r="J1145" s="82">
        <v>10.94</v>
      </c>
    </row>
    <row r="1146" spans="1:10" ht="38.25" x14ac:dyDescent="0.2">
      <c r="A1146" s="87" t="s">
        <v>781</v>
      </c>
      <c r="B1146" s="88" t="s">
        <v>812</v>
      </c>
      <c r="C1146" s="87" t="s">
        <v>15</v>
      </c>
      <c r="D1146" s="87" t="s">
        <v>813</v>
      </c>
      <c r="E1146" s="126" t="s">
        <v>784</v>
      </c>
      <c r="F1146" s="126"/>
      <c r="G1146" s="89" t="s">
        <v>785</v>
      </c>
      <c r="H1146" s="90">
        <v>0.12</v>
      </c>
      <c r="I1146" s="91">
        <v>18.57</v>
      </c>
      <c r="J1146" s="91">
        <v>2.2200000000000002</v>
      </c>
    </row>
    <row r="1147" spans="1:10" ht="38.25" x14ac:dyDescent="0.2">
      <c r="A1147" s="87" t="s">
        <v>781</v>
      </c>
      <c r="B1147" s="88" t="s">
        <v>814</v>
      </c>
      <c r="C1147" s="87" t="s">
        <v>15</v>
      </c>
      <c r="D1147" s="87" t="s">
        <v>815</v>
      </c>
      <c r="E1147" s="126" t="s">
        <v>784</v>
      </c>
      <c r="F1147" s="126"/>
      <c r="G1147" s="89" t="s">
        <v>785</v>
      </c>
      <c r="H1147" s="90">
        <v>0.12</v>
      </c>
      <c r="I1147" s="91">
        <v>27.08</v>
      </c>
      <c r="J1147" s="91">
        <v>3.24</v>
      </c>
    </row>
    <row r="1148" spans="1:10" ht="38.25" x14ac:dyDescent="0.2">
      <c r="A1148" s="87" t="s">
        <v>781</v>
      </c>
      <c r="B1148" s="88" t="s">
        <v>1205</v>
      </c>
      <c r="C1148" s="87" t="s">
        <v>15</v>
      </c>
      <c r="D1148" s="87" t="s">
        <v>1206</v>
      </c>
      <c r="E1148" s="126" t="s">
        <v>794</v>
      </c>
      <c r="F1148" s="126"/>
      <c r="G1148" s="89" t="s">
        <v>78</v>
      </c>
      <c r="H1148" s="90">
        <v>1.02</v>
      </c>
      <c r="I1148" s="91">
        <v>5.38</v>
      </c>
      <c r="J1148" s="91">
        <v>5.48</v>
      </c>
    </row>
    <row r="1149" spans="1:10" ht="38.25" x14ac:dyDescent="0.2">
      <c r="A1149" s="92"/>
      <c r="B1149" s="92"/>
      <c r="C1149" s="92"/>
      <c r="D1149" s="92"/>
      <c r="E1149" s="92" t="s">
        <v>801</v>
      </c>
      <c r="F1149" s="93">
        <v>5.46</v>
      </c>
      <c r="G1149" s="92" t="s">
        <v>802</v>
      </c>
      <c r="H1149" s="93">
        <v>0</v>
      </c>
      <c r="I1149" s="92" t="s">
        <v>803</v>
      </c>
      <c r="J1149" s="93">
        <v>5.46</v>
      </c>
    </row>
    <row r="1150" spans="1:10" ht="38.25" x14ac:dyDescent="0.2">
      <c r="A1150" s="92"/>
      <c r="B1150" s="92"/>
      <c r="C1150" s="92"/>
      <c r="D1150" s="92"/>
      <c r="E1150" s="92" t="s">
        <v>804</v>
      </c>
      <c r="F1150" s="93">
        <v>3.15</v>
      </c>
      <c r="G1150" s="92"/>
      <c r="H1150" s="127" t="s">
        <v>805</v>
      </c>
      <c r="I1150" s="127"/>
      <c r="J1150" s="93">
        <v>14.09</v>
      </c>
    </row>
    <row r="1151" spans="1:10" ht="15" thickBot="1" x14ac:dyDescent="0.25">
      <c r="A1151" s="77"/>
      <c r="B1151" s="77"/>
      <c r="C1151" s="77"/>
      <c r="D1151" s="77"/>
      <c r="E1151" s="77"/>
      <c r="F1151" s="77"/>
      <c r="G1151" s="77" t="s">
        <v>806</v>
      </c>
      <c r="H1151" s="94">
        <v>250</v>
      </c>
      <c r="I1151" s="77" t="s">
        <v>807</v>
      </c>
      <c r="J1151" s="78">
        <v>3522.5</v>
      </c>
    </row>
    <row r="1152" spans="1:10" ht="15" thickTop="1" x14ac:dyDescent="0.2">
      <c r="A1152" s="95"/>
      <c r="B1152" s="95"/>
      <c r="C1152" s="95"/>
      <c r="D1152" s="95"/>
      <c r="E1152" s="95"/>
      <c r="F1152" s="95"/>
      <c r="G1152" s="95"/>
      <c r="H1152" s="95"/>
      <c r="I1152" s="95"/>
      <c r="J1152" s="95"/>
    </row>
    <row r="1153" spans="1:10" ht="15" x14ac:dyDescent="0.2">
      <c r="A1153" s="75" t="s">
        <v>365</v>
      </c>
      <c r="B1153" s="17" t="s">
        <v>11</v>
      </c>
      <c r="C1153" s="75" t="s">
        <v>12</v>
      </c>
      <c r="D1153" s="75" t="s">
        <v>2</v>
      </c>
      <c r="E1153" s="124" t="s">
        <v>779</v>
      </c>
      <c r="F1153" s="124"/>
      <c r="G1153" s="76" t="s">
        <v>3</v>
      </c>
      <c r="H1153" s="17" t="s">
        <v>4</v>
      </c>
      <c r="I1153" s="17" t="s">
        <v>13</v>
      </c>
      <c r="J1153" s="17" t="s">
        <v>17</v>
      </c>
    </row>
    <row r="1154" spans="1:10" ht="25.5" x14ac:dyDescent="0.2">
      <c r="A1154" s="19" t="s">
        <v>780</v>
      </c>
      <c r="B1154" s="20" t="s">
        <v>366</v>
      </c>
      <c r="C1154" s="19" t="s">
        <v>15</v>
      </c>
      <c r="D1154" s="19" t="s">
        <v>367</v>
      </c>
      <c r="E1154" s="125">
        <v>39.020000000000003</v>
      </c>
      <c r="F1154" s="125"/>
      <c r="G1154" s="21" t="s">
        <v>78</v>
      </c>
      <c r="H1154" s="86">
        <v>1</v>
      </c>
      <c r="I1154" s="82">
        <v>4.4000000000000004</v>
      </c>
      <c r="J1154" s="82">
        <v>4.4000000000000004</v>
      </c>
    </row>
    <row r="1155" spans="1:10" ht="38.25" x14ac:dyDescent="0.2">
      <c r="A1155" s="87" t="s">
        <v>781</v>
      </c>
      <c r="B1155" s="88" t="s">
        <v>814</v>
      </c>
      <c r="C1155" s="87" t="s">
        <v>15</v>
      </c>
      <c r="D1155" s="87" t="s">
        <v>815</v>
      </c>
      <c r="E1155" s="126" t="s">
        <v>784</v>
      </c>
      <c r="F1155" s="126"/>
      <c r="G1155" s="89" t="s">
        <v>785</v>
      </c>
      <c r="H1155" s="90">
        <v>0.04</v>
      </c>
      <c r="I1155" s="91">
        <v>27.08</v>
      </c>
      <c r="J1155" s="91">
        <v>1.08</v>
      </c>
    </row>
    <row r="1156" spans="1:10" ht="38.25" x14ac:dyDescent="0.2">
      <c r="A1156" s="87" t="s">
        <v>781</v>
      </c>
      <c r="B1156" s="88" t="s">
        <v>812</v>
      </c>
      <c r="C1156" s="87" t="s">
        <v>15</v>
      </c>
      <c r="D1156" s="87" t="s">
        <v>813</v>
      </c>
      <c r="E1156" s="126" t="s">
        <v>784</v>
      </c>
      <c r="F1156" s="126"/>
      <c r="G1156" s="89" t="s">
        <v>785</v>
      </c>
      <c r="H1156" s="90">
        <v>0.04</v>
      </c>
      <c r="I1156" s="91">
        <v>18.57</v>
      </c>
      <c r="J1156" s="91">
        <v>0.74</v>
      </c>
    </row>
    <row r="1157" spans="1:10" ht="38.25" x14ac:dyDescent="0.2">
      <c r="A1157" s="87" t="s">
        <v>781</v>
      </c>
      <c r="B1157" s="88" t="s">
        <v>1207</v>
      </c>
      <c r="C1157" s="87" t="s">
        <v>15</v>
      </c>
      <c r="D1157" s="87" t="s">
        <v>1208</v>
      </c>
      <c r="E1157" s="126" t="s">
        <v>794</v>
      </c>
      <c r="F1157" s="126"/>
      <c r="G1157" s="89" t="s">
        <v>78</v>
      </c>
      <c r="H1157" s="90">
        <v>1.02</v>
      </c>
      <c r="I1157" s="91">
        <v>2.5299999999999998</v>
      </c>
      <c r="J1157" s="91">
        <v>2.58</v>
      </c>
    </row>
    <row r="1158" spans="1:10" ht="38.25" x14ac:dyDescent="0.2">
      <c r="A1158" s="92"/>
      <c r="B1158" s="92"/>
      <c r="C1158" s="92"/>
      <c r="D1158" s="92"/>
      <c r="E1158" s="92" t="s">
        <v>801</v>
      </c>
      <c r="F1158" s="93">
        <v>1.82</v>
      </c>
      <c r="G1158" s="92" t="s">
        <v>802</v>
      </c>
      <c r="H1158" s="93">
        <v>0</v>
      </c>
      <c r="I1158" s="92" t="s">
        <v>803</v>
      </c>
      <c r="J1158" s="93">
        <v>1.82</v>
      </c>
    </row>
    <row r="1159" spans="1:10" ht="38.25" x14ac:dyDescent="0.2">
      <c r="A1159" s="92"/>
      <c r="B1159" s="92"/>
      <c r="C1159" s="92"/>
      <c r="D1159" s="92"/>
      <c r="E1159" s="92" t="s">
        <v>804</v>
      </c>
      <c r="F1159" s="93">
        <v>1.26</v>
      </c>
      <c r="G1159" s="92"/>
      <c r="H1159" s="127" t="s">
        <v>805</v>
      </c>
      <c r="I1159" s="127"/>
      <c r="J1159" s="93">
        <v>5.66</v>
      </c>
    </row>
    <row r="1160" spans="1:10" ht="15" thickBot="1" x14ac:dyDescent="0.25">
      <c r="A1160" s="77"/>
      <c r="B1160" s="77"/>
      <c r="C1160" s="77"/>
      <c r="D1160" s="77"/>
      <c r="E1160" s="77"/>
      <c r="F1160" s="77"/>
      <c r="G1160" s="77" t="s">
        <v>806</v>
      </c>
      <c r="H1160" s="94">
        <v>200</v>
      </c>
      <c r="I1160" s="77" t="s">
        <v>807</v>
      </c>
      <c r="J1160" s="78">
        <v>1132</v>
      </c>
    </row>
    <row r="1161" spans="1:10" ht="15" thickTop="1" x14ac:dyDescent="0.2">
      <c r="A1161" s="95"/>
      <c r="B1161" s="95"/>
      <c r="C1161" s="95"/>
      <c r="D1161" s="95"/>
      <c r="E1161" s="95"/>
      <c r="F1161" s="95"/>
      <c r="G1161" s="95"/>
      <c r="H1161" s="95"/>
      <c r="I1161" s="95"/>
      <c r="J1161" s="95"/>
    </row>
    <row r="1162" spans="1:10" ht="15" x14ac:dyDescent="0.2">
      <c r="A1162" s="75" t="s">
        <v>368</v>
      </c>
      <c r="B1162" s="17" t="s">
        <v>11</v>
      </c>
      <c r="C1162" s="75" t="s">
        <v>12</v>
      </c>
      <c r="D1162" s="75" t="s">
        <v>2</v>
      </c>
      <c r="E1162" s="124" t="s">
        <v>779</v>
      </c>
      <c r="F1162" s="124"/>
      <c r="G1162" s="76" t="s">
        <v>3</v>
      </c>
      <c r="H1162" s="17" t="s">
        <v>4</v>
      </c>
      <c r="I1162" s="17" t="s">
        <v>13</v>
      </c>
      <c r="J1162" s="17" t="s">
        <v>17</v>
      </c>
    </row>
    <row r="1163" spans="1:10" ht="25.5" x14ac:dyDescent="0.2">
      <c r="A1163" s="19" t="s">
        <v>780</v>
      </c>
      <c r="B1163" s="20" t="s">
        <v>369</v>
      </c>
      <c r="C1163" s="19" t="s">
        <v>15</v>
      </c>
      <c r="D1163" s="19" t="s">
        <v>370</v>
      </c>
      <c r="E1163" s="125">
        <v>39.020000000000003</v>
      </c>
      <c r="F1163" s="125"/>
      <c r="G1163" s="21" t="s">
        <v>78</v>
      </c>
      <c r="H1163" s="86">
        <v>1</v>
      </c>
      <c r="I1163" s="82">
        <v>9.39</v>
      </c>
      <c r="J1163" s="82">
        <v>9.39</v>
      </c>
    </row>
    <row r="1164" spans="1:10" ht="38.25" x14ac:dyDescent="0.2">
      <c r="A1164" s="87" t="s">
        <v>781</v>
      </c>
      <c r="B1164" s="88" t="s">
        <v>812</v>
      </c>
      <c r="C1164" s="87" t="s">
        <v>15</v>
      </c>
      <c r="D1164" s="87" t="s">
        <v>813</v>
      </c>
      <c r="E1164" s="126" t="s">
        <v>784</v>
      </c>
      <c r="F1164" s="126"/>
      <c r="G1164" s="89" t="s">
        <v>785</v>
      </c>
      <c r="H1164" s="90">
        <v>7.0000000000000007E-2</v>
      </c>
      <c r="I1164" s="91">
        <v>18.57</v>
      </c>
      <c r="J1164" s="91">
        <v>1.29</v>
      </c>
    </row>
    <row r="1165" spans="1:10" ht="38.25" x14ac:dyDescent="0.2">
      <c r="A1165" s="87" t="s">
        <v>781</v>
      </c>
      <c r="B1165" s="88" t="s">
        <v>814</v>
      </c>
      <c r="C1165" s="87" t="s">
        <v>15</v>
      </c>
      <c r="D1165" s="87" t="s">
        <v>815</v>
      </c>
      <c r="E1165" s="126" t="s">
        <v>784</v>
      </c>
      <c r="F1165" s="126"/>
      <c r="G1165" s="89" t="s">
        <v>785</v>
      </c>
      <c r="H1165" s="90">
        <v>7.0000000000000007E-2</v>
      </c>
      <c r="I1165" s="91">
        <v>27.08</v>
      </c>
      <c r="J1165" s="91">
        <v>1.89</v>
      </c>
    </row>
    <row r="1166" spans="1:10" ht="38.25" x14ac:dyDescent="0.2">
      <c r="A1166" s="87" t="s">
        <v>781</v>
      </c>
      <c r="B1166" s="88" t="s">
        <v>1209</v>
      </c>
      <c r="C1166" s="87" t="s">
        <v>15</v>
      </c>
      <c r="D1166" s="87" t="s">
        <v>1210</v>
      </c>
      <c r="E1166" s="126" t="s">
        <v>794</v>
      </c>
      <c r="F1166" s="126"/>
      <c r="G1166" s="89" t="s">
        <v>78</v>
      </c>
      <c r="H1166" s="90">
        <v>1.02</v>
      </c>
      <c r="I1166" s="91">
        <v>6.09</v>
      </c>
      <c r="J1166" s="91">
        <v>6.21</v>
      </c>
    </row>
    <row r="1167" spans="1:10" ht="38.25" x14ac:dyDescent="0.2">
      <c r="A1167" s="92"/>
      <c r="B1167" s="92"/>
      <c r="C1167" s="92"/>
      <c r="D1167" s="92"/>
      <c r="E1167" s="92" t="s">
        <v>801</v>
      </c>
      <c r="F1167" s="93">
        <v>3.18</v>
      </c>
      <c r="G1167" s="92" t="s">
        <v>802</v>
      </c>
      <c r="H1167" s="93">
        <v>0</v>
      </c>
      <c r="I1167" s="92" t="s">
        <v>803</v>
      </c>
      <c r="J1167" s="93">
        <v>3.18</v>
      </c>
    </row>
    <row r="1168" spans="1:10" ht="38.25" x14ac:dyDescent="0.2">
      <c r="A1168" s="92"/>
      <c r="B1168" s="92"/>
      <c r="C1168" s="92"/>
      <c r="D1168" s="92"/>
      <c r="E1168" s="92" t="s">
        <v>804</v>
      </c>
      <c r="F1168" s="93">
        <v>2.7</v>
      </c>
      <c r="G1168" s="92"/>
      <c r="H1168" s="127" t="s">
        <v>805</v>
      </c>
      <c r="I1168" s="127"/>
      <c r="J1168" s="93">
        <v>12.09</v>
      </c>
    </row>
    <row r="1169" spans="1:10" ht="15" thickBot="1" x14ac:dyDescent="0.25">
      <c r="A1169" s="77"/>
      <c r="B1169" s="77"/>
      <c r="C1169" s="77"/>
      <c r="D1169" s="77"/>
      <c r="E1169" s="77"/>
      <c r="F1169" s="77"/>
      <c r="G1169" s="77" t="s">
        <v>806</v>
      </c>
      <c r="H1169" s="94">
        <v>450</v>
      </c>
      <c r="I1169" s="77" t="s">
        <v>807</v>
      </c>
      <c r="J1169" s="78">
        <v>5440.5</v>
      </c>
    </row>
    <row r="1170" spans="1:10" ht="15" thickTop="1" x14ac:dyDescent="0.2">
      <c r="A1170" s="95"/>
      <c r="B1170" s="95"/>
      <c r="C1170" s="95"/>
      <c r="D1170" s="95"/>
      <c r="E1170" s="95"/>
      <c r="F1170" s="95"/>
      <c r="G1170" s="95"/>
      <c r="H1170" s="95"/>
      <c r="I1170" s="95"/>
      <c r="J1170" s="95"/>
    </row>
    <row r="1171" spans="1:10" ht="15" x14ac:dyDescent="0.2">
      <c r="A1171" s="75" t="s">
        <v>371</v>
      </c>
      <c r="B1171" s="17" t="s">
        <v>11</v>
      </c>
      <c r="C1171" s="75" t="s">
        <v>12</v>
      </c>
      <c r="D1171" s="75" t="s">
        <v>2</v>
      </c>
      <c r="E1171" s="124" t="s">
        <v>779</v>
      </c>
      <c r="F1171" s="124"/>
      <c r="G1171" s="76" t="s">
        <v>3</v>
      </c>
      <c r="H1171" s="17" t="s">
        <v>4</v>
      </c>
      <c r="I1171" s="17" t="s">
        <v>13</v>
      </c>
      <c r="J1171" s="17" t="s">
        <v>17</v>
      </c>
    </row>
    <row r="1172" spans="1:10" ht="25.5" x14ac:dyDescent="0.2">
      <c r="A1172" s="19" t="s">
        <v>780</v>
      </c>
      <c r="B1172" s="20" t="s">
        <v>372</v>
      </c>
      <c r="C1172" s="19" t="s">
        <v>15</v>
      </c>
      <c r="D1172" s="19" t="s">
        <v>373</v>
      </c>
      <c r="E1172" s="125">
        <v>39.020000000000003</v>
      </c>
      <c r="F1172" s="125"/>
      <c r="G1172" s="21" t="s">
        <v>78</v>
      </c>
      <c r="H1172" s="86">
        <v>1</v>
      </c>
      <c r="I1172" s="82">
        <v>3.52</v>
      </c>
      <c r="J1172" s="82">
        <v>3.52</v>
      </c>
    </row>
    <row r="1173" spans="1:10" ht="38.25" x14ac:dyDescent="0.2">
      <c r="A1173" s="87" t="s">
        <v>781</v>
      </c>
      <c r="B1173" s="88" t="s">
        <v>814</v>
      </c>
      <c r="C1173" s="87" t="s">
        <v>15</v>
      </c>
      <c r="D1173" s="87" t="s">
        <v>815</v>
      </c>
      <c r="E1173" s="126" t="s">
        <v>784</v>
      </c>
      <c r="F1173" s="126"/>
      <c r="G1173" s="89" t="s">
        <v>785</v>
      </c>
      <c r="H1173" s="90">
        <v>0.04</v>
      </c>
      <c r="I1173" s="91">
        <v>27.08</v>
      </c>
      <c r="J1173" s="91">
        <v>1.08</v>
      </c>
    </row>
    <row r="1174" spans="1:10" ht="38.25" x14ac:dyDescent="0.2">
      <c r="A1174" s="87" t="s">
        <v>781</v>
      </c>
      <c r="B1174" s="88" t="s">
        <v>812</v>
      </c>
      <c r="C1174" s="87" t="s">
        <v>15</v>
      </c>
      <c r="D1174" s="87" t="s">
        <v>813</v>
      </c>
      <c r="E1174" s="126" t="s">
        <v>784</v>
      </c>
      <c r="F1174" s="126"/>
      <c r="G1174" s="89" t="s">
        <v>785</v>
      </c>
      <c r="H1174" s="90">
        <v>0.04</v>
      </c>
      <c r="I1174" s="91">
        <v>18.57</v>
      </c>
      <c r="J1174" s="91">
        <v>0.74</v>
      </c>
    </row>
    <row r="1175" spans="1:10" ht="38.25" x14ac:dyDescent="0.2">
      <c r="A1175" s="87" t="s">
        <v>781</v>
      </c>
      <c r="B1175" s="88" t="s">
        <v>1211</v>
      </c>
      <c r="C1175" s="87" t="s">
        <v>15</v>
      </c>
      <c r="D1175" s="87" t="s">
        <v>1212</v>
      </c>
      <c r="E1175" s="126" t="s">
        <v>794</v>
      </c>
      <c r="F1175" s="126"/>
      <c r="G1175" s="89" t="s">
        <v>78</v>
      </c>
      <c r="H1175" s="90">
        <v>1.02</v>
      </c>
      <c r="I1175" s="91">
        <v>1.67</v>
      </c>
      <c r="J1175" s="91">
        <v>1.7</v>
      </c>
    </row>
    <row r="1176" spans="1:10" ht="38.25" x14ac:dyDescent="0.2">
      <c r="A1176" s="92"/>
      <c r="B1176" s="92"/>
      <c r="C1176" s="92"/>
      <c r="D1176" s="92"/>
      <c r="E1176" s="92" t="s">
        <v>801</v>
      </c>
      <c r="F1176" s="93">
        <v>1.82</v>
      </c>
      <c r="G1176" s="92" t="s">
        <v>802</v>
      </c>
      <c r="H1176" s="93">
        <v>0</v>
      </c>
      <c r="I1176" s="92" t="s">
        <v>803</v>
      </c>
      <c r="J1176" s="93">
        <v>1.82</v>
      </c>
    </row>
    <row r="1177" spans="1:10" ht="38.25" x14ac:dyDescent="0.2">
      <c r="A1177" s="92"/>
      <c r="B1177" s="92"/>
      <c r="C1177" s="92"/>
      <c r="D1177" s="92"/>
      <c r="E1177" s="92" t="s">
        <v>804</v>
      </c>
      <c r="F1177" s="93">
        <v>1.01</v>
      </c>
      <c r="G1177" s="92"/>
      <c r="H1177" s="127" t="s">
        <v>805</v>
      </c>
      <c r="I1177" s="127"/>
      <c r="J1177" s="93">
        <v>4.53</v>
      </c>
    </row>
    <row r="1178" spans="1:10" ht="15" thickBot="1" x14ac:dyDescent="0.25">
      <c r="A1178" s="77"/>
      <c r="B1178" s="77"/>
      <c r="C1178" s="77"/>
      <c r="D1178" s="77"/>
      <c r="E1178" s="77"/>
      <c r="F1178" s="77"/>
      <c r="G1178" s="77" t="s">
        <v>806</v>
      </c>
      <c r="H1178" s="94">
        <v>150</v>
      </c>
      <c r="I1178" s="77" t="s">
        <v>807</v>
      </c>
      <c r="J1178" s="78">
        <v>679.5</v>
      </c>
    </row>
    <row r="1179" spans="1:10" ht="15" thickTop="1" x14ac:dyDescent="0.2">
      <c r="A1179" s="95"/>
      <c r="B1179" s="95"/>
      <c r="C1179" s="95"/>
      <c r="D1179" s="95"/>
      <c r="E1179" s="95"/>
      <c r="F1179" s="95"/>
      <c r="G1179" s="95"/>
      <c r="H1179" s="95"/>
      <c r="I1179" s="95"/>
      <c r="J1179" s="95"/>
    </row>
    <row r="1180" spans="1:10" ht="15" x14ac:dyDescent="0.2">
      <c r="A1180" s="75" t="s">
        <v>374</v>
      </c>
      <c r="B1180" s="17" t="s">
        <v>11</v>
      </c>
      <c r="C1180" s="75" t="s">
        <v>12</v>
      </c>
      <c r="D1180" s="75" t="s">
        <v>2</v>
      </c>
      <c r="E1180" s="124" t="s">
        <v>779</v>
      </c>
      <c r="F1180" s="124"/>
      <c r="G1180" s="76" t="s">
        <v>3</v>
      </c>
      <c r="H1180" s="17" t="s">
        <v>4</v>
      </c>
      <c r="I1180" s="17" t="s">
        <v>13</v>
      </c>
      <c r="J1180" s="17" t="s">
        <v>17</v>
      </c>
    </row>
    <row r="1181" spans="1:10" ht="25.5" x14ac:dyDescent="0.2">
      <c r="A1181" s="19" t="s">
        <v>780</v>
      </c>
      <c r="B1181" s="20" t="s">
        <v>375</v>
      </c>
      <c r="C1181" s="19" t="s">
        <v>15</v>
      </c>
      <c r="D1181" s="19" t="s">
        <v>376</v>
      </c>
      <c r="E1181" s="125">
        <v>39.020000000000003</v>
      </c>
      <c r="F1181" s="125"/>
      <c r="G1181" s="21" t="s">
        <v>78</v>
      </c>
      <c r="H1181" s="86">
        <v>1</v>
      </c>
      <c r="I1181" s="82">
        <v>6.93</v>
      </c>
      <c r="J1181" s="82">
        <v>6.93</v>
      </c>
    </row>
    <row r="1182" spans="1:10" ht="38.25" x14ac:dyDescent="0.2">
      <c r="A1182" s="87" t="s">
        <v>781</v>
      </c>
      <c r="B1182" s="88" t="s">
        <v>812</v>
      </c>
      <c r="C1182" s="87" t="s">
        <v>15</v>
      </c>
      <c r="D1182" s="87" t="s">
        <v>813</v>
      </c>
      <c r="E1182" s="126" t="s">
        <v>784</v>
      </c>
      <c r="F1182" s="126"/>
      <c r="G1182" s="89" t="s">
        <v>785</v>
      </c>
      <c r="H1182" s="90">
        <v>0.06</v>
      </c>
      <c r="I1182" s="91">
        <v>18.57</v>
      </c>
      <c r="J1182" s="91">
        <v>1.1100000000000001</v>
      </c>
    </row>
    <row r="1183" spans="1:10" ht="38.25" x14ac:dyDescent="0.2">
      <c r="A1183" s="87" t="s">
        <v>781</v>
      </c>
      <c r="B1183" s="88" t="s">
        <v>814</v>
      </c>
      <c r="C1183" s="87" t="s">
        <v>15</v>
      </c>
      <c r="D1183" s="87" t="s">
        <v>815</v>
      </c>
      <c r="E1183" s="126" t="s">
        <v>784</v>
      </c>
      <c r="F1183" s="126"/>
      <c r="G1183" s="89" t="s">
        <v>785</v>
      </c>
      <c r="H1183" s="90">
        <v>0.06</v>
      </c>
      <c r="I1183" s="91">
        <v>27.08</v>
      </c>
      <c r="J1183" s="91">
        <v>1.62</v>
      </c>
    </row>
    <row r="1184" spans="1:10" ht="38.25" x14ac:dyDescent="0.2">
      <c r="A1184" s="87" t="s">
        <v>781</v>
      </c>
      <c r="B1184" s="88" t="s">
        <v>1213</v>
      </c>
      <c r="C1184" s="87" t="s">
        <v>15</v>
      </c>
      <c r="D1184" s="87" t="s">
        <v>1214</v>
      </c>
      <c r="E1184" s="126" t="s">
        <v>794</v>
      </c>
      <c r="F1184" s="126"/>
      <c r="G1184" s="89" t="s">
        <v>78</v>
      </c>
      <c r="H1184" s="90">
        <v>1.02</v>
      </c>
      <c r="I1184" s="91">
        <v>4.12</v>
      </c>
      <c r="J1184" s="91">
        <v>4.2</v>
      </c>
    </row>
    <row r="1185" spans="1:10" ht="38.25" x14ac:dyDescent="0.2">
      <c r="A1185" s="92"/>
      <c r="B1185" s="92"/>
      <c r="C1185" s="92"/>
      <c r="D1185" s="92"/>
      <c r="E1185" s="92" t="s">
        <v>801</v>
      </c>
      <c r="F1185" s="93">
        <v>2.73</v>
      </c>
      <c r="G1185" s="92" t="s">
        <v>802</v>
      </c>
      <c r="H1185" s="93">
        <v>0</v>
      </c>
      <c r="I1185" s="92" t="s">
        <v>803</v>
      </c>
      <c r="J1185" s="93">
        <v>2.73</v>
      </c>
    </row>
    <row r="1186" spans="1:10" ht="38.25" x14ac:dyDescent="0.2">
      <c r="A1186" s="92"/>
      <c r="B1186" s="92"/>
      <c r="C1186" s="92"/>
      <c r="D1186" s="92"/>
      <c r="E1186" s="92" t="s">
        <v>804</v>
      </c>
      <c r="F1186" s="93">
        <v>1.99</v>
      </c>
      <c r="G1186" s="92"/>
      <c r="H1186" s="127" t="s">
        <v>805</v>
      </c>
      <c r="I1186" s="127"/>
      <c r="J1186" s="93">
        <v>8.92</v>
      </c>
    </row>
    <row r="1187" spans="1:10" ht="15" thickBot="1" x14ac:dyDescent="0.25">
      <c r="A1187" s="77"/>
      <c r="B1187" s="77"/>
      <c r="C1187" s="77"/>
      <c r="D1187" s="77"/>
      <c r="E1187" s="77"/>
      <c r="F1187" s="77"/>
      <c r="G1187" s="77" t="s">
        <v>806</v>
      </c>
      <c r="H1187" s="94">
        <v>100</v>
      </c>
      <c r="I1187" s="77" t="s">
        <v>807</v>
      </c>
      <c r="J1187" s="78">
        <v>892</v>
      </c>
    </row>
    <row r="1188" spans="1:10" ht="15" thickTop="1" x14ac:dyDescent="0.2">
      <c r="A1188" s="95"/>
      <c r="B1188" s="95"/>
      <c r="C1188" s="95"/>
      <c r="D1188" s="95"/>
      <c r="E1188" s="95"/>
      <c r="F1188" s="95"/>
      <c r="G1188" s="95"/>
      <c r="H1188" s="95"/>
      <c r="I1188" s="95"/>
      <c r="J1188" s="95"/>
    </row>
    <row r="1189" spans="1:10" x14ac:dyDescent="0.2">
      <c r="A1189" s="18" t="s">
        <v>377</v>
      </c>
      <c r="B1189" s="18"/>
      <c r="C1189" s="18"/>
      <c r="D1189" s="18" t="s">
        <v>378</v>
      </c>
      <c r="E1189" s="18"/>
      <c r="F1189" s="122"/>
      <c r="G1189" s="122"/>
      <c r="H1189" s="39"/>
      <c r="I1189" s="18"/>
      <c r="J1189" s="80">
        <v>506.11</v>
      </c>
    </row>
    <row r="1190" spans="1:10" ht="15" x14ac:dyDescent="0.2">
      <c r="A1190" s="75" t="s">
        <v>379</v>
      </c>
      <c r="B1190" s="17" t="s">
        <v>11</v>
      </c>
      <c r="C1190" s="75" t="s">
        <v>12</v>
      </c>
      <c r="D1190" s="75" t="s">
        <v>2</v>
      </c>
      <c r="E1190" s="124" t="s">
        <v>779</v>
      </c>
      <c r="F1190" s="124"/>
      <c r="G1190" s="76" t="s">
        <v>3</v>
      </c>
      <c r="H1190" s="17" t="s">
        <v>4</v>
      </c>
      <c r="I1190" s="17" t="s">
        <v>13</v>
      </c>
      <c r="J1190" s="17" t="s">
        <v>17</v>
      </c>
    </row>
    <row r="1191" spans="1:10" ht="25.5" x14ac:dyDescent="0.2">
      <c r="A1191" s="19" t="s">
        <v>780</v>
      </c>
      <c r="B1191" s="20" t="s">
        <v>380</v>
      </c>
      <c r="C1191" s="19" t="s">
        <v>15</v>
      </c>
      <c r="D1191" s="19" t="s">
        <v>381</v>
      </c>
      <c r="E1191" s="125">
        <v>40.04</v>
      </c>
      <c r="F1191" s="125"/>
      <c r="G1191" s="21" t="s">
        <v>281</v>
      </c>
      <c r="H1191" s="86">
        <v>1</v>
      </c>
      <c r="I1191" s="82">
        <v>25.66</v>
      </c>
      <c r="J1191" s="82">
        <v>25.66</v>
      </c>
    </row>
    <row r="1192" spans="1:10" ht="38.25" x14ac:dyDescent="0.2">
      <c r="A1192" s="87" t="s">
        <v>781</v>
      </c>
      <c r="B1192" s="88" t="s">
        <v>812</v>
      </c>
      <c r="C1192" s="87" t="s">
        <v>15</v>
      </c>
      <c r="D1192" s="87" t="s">
        <v>813</v>
      </c>
      <c r="E1192" s="126" t="s">
        <v>784</v>
      </c>
      <c r="F1192" s="126"/>
      <c r="G1192" s="89" t="s">
        <v>785</v>
      </c>
      <c r="H1192" s="90">
        <v>0.3</v>
      </c>
      <c r="I1192" s="91">
        <v>18.57</v>
      </c>
      <c r="J1192" s="91">
        <v>5.57</v>
      </c>
    </row>
    <row r="1193" spans="1:10" ht="38.25" x14ac:dyDescent="0.2">
      <c r="A1193" s="87" t="s">
        <v>781</v>
      </c>
      <c r="B1193" s="88" t="s">
        <v>814</v>
      </c>
      <c r="C1193" s="87" t="s">
        <v>15</v>
      </c>
      <c r="D1193" s="87" t="s">
        <v>815</v>
      </c>
      <c r="E1193" s="126" t="s">
        <v>784</v>
      </c>
      <c r="F1193" s="126"/>
      <c r="G1193" s="89" t="s">
        <v>785</v>
      </c>
      <c r="H1193" s="90">
        <v>0.3</v>
      </c>
      <c r="I1193" s="91">
        <v>27.08</v>
      </c>
      <c r="J1193" s="91">
        <v>8.1199999999999992</v>
      </c>
    </row>
    <row r="1194" spans="1:10" ht="38.25" x14ac:dyDescent="0.2">
      <c r="A1194" s="87" t="s">
        <v>781</v>
      </c>
      <c r="B1194" s="88" t="s">
        <v>1215</v>
      </c>
      <c r="C1194" s="87" t="s">
        <v>15</v>
      </c>
      <c r="D1194" s="87" t="s">
        <v>1216</v>
      </c>
      <c r="E1194" s="126" t="s">
        <v>794</v>
      </c>
      <c r="F1194" s="126"/>
      <c r="G1194" s="89" t="s">
        <v>281</v>
      </c>
      <c r="H1194" s="90">
        <v>1</v>
      </c>
      <c r="I1194" s="91">
        <v>11.97</v>
      </c>
      <c r="J1194" s="91">
        <v>11.97</v>
      </c>
    </row>
    <row r="1195" spans="1:10" ht="38.25" x14ac:dyDescent="0.2">
      <c r="A1195" s="92"/>
      <c r="B1195" s="92"/>
      <c r="C1195" s="92"/>
      <c r="D1195" s="92"/>
      <c r="E1195" s="92" t="s">
        <v>801</v>
      </c>
      <c r="F1195" s="93">
        <v>13.69</v>
      </c>
      <c r="G1195" s="92" t="s">
        <v>802</v>
      </c>
      <c r="H1195" s="93">
        <v>0</v>
      </c>
      <c r="I1195" s="92" t="s">
        <v>803</v>
      </c>
      <c r="J1195" s="93">
        <v>13.69</v>
      </c>
    </row>
    <row r="1196" spans="1:10" ht="38.25" x14ac:dyDescent="0.2">
      <c r="A1196" s="92"/>
      <c r="B1196" s="92"/>
      <c r="C1196" s="92"/>
      <c r="D1196" s="92"/>
      <c r="E1196" s="92" t="s">
        <v>804</v>
      </c>
      <c r="F1196" s="93">
        <v>7.39</v>
      </c>
      <c r="G1196" s="92"/>
      <c r="H1196" s="127" t="s">
        <v>805</v>
      </c>
      <c r="I1196" s="127"/>
      <c r="J1196" s="93">
        <v>33.049999999999997</v>
      </c>
    </row>
    <row r="1197" spans="1:10" ht="15" thickBot="1" x14ac:dyDescent="0.25">
      <c r="A1197" s="77"/>
      <c r="B1197" s="77"/>
      <c r="C1197" s="77"/>
      <c r="D1197" s="77"/>
      <c r="E1197" s="77"/>
      <c r="F1197" s="77"/>
      <c r="G1197" s="77" t="s">
        <v>806</v>
      </c>
      <c r="H1197" s="94">
        <v>5</v>
      </c>
      <c r="I1197" s="77" t="s">
        <v>807</v>
      </c>
      <c r="J1197" s="78">
        <v>165.25</v>
      </c>
    </row>
    <row r="1198" spans="1:10" ht="15" thickTop="1" x14ac:dyDescent="0.2">
      <c r="A1198" s="95"/>
      <c r="B1198" s="95"/>
      <c r="C1198" s="95"/>
      <c r="D1198" s="95"/>
      <c r="E1198" s="95"/>
      <c r="F1198" s="95"/>
      <c r="G1198" s="95"/>
      <c r="H1198" s="95"/>
      <c r="I1198" s="95"/>
      <c r="J1198" s="95"/>
    </row>
    <row r="1199" spans="1:10" ht="15" x14ac:dyDescent="0.2">
      <c r="A1199" s="75" t="s">
        <v>382</v>
      </c>
      <c r="B1199" s="17" t="s">
        <v>11</v>
      </c>
      <c r="C1199" s="75" t="s">
        <v>12</v>
      </c>
      <c r="D1199" s="75" t="s">
        <v>2</v>
      </c>
      <c r="E1199" s="124" t="s">
        <v>779</v>
      </c>
      <c r="F1199" s="124"/>
      <c r="G1199" s="76" t="s">
        <v>3</v>
      </c>
      <c r="H1199" s="17" t="s">
        <v>4</v>
      </c>
      <c r="I1199" s="17" t="s">
        <v>13</v>
      </c>
      <c r="J1199" s="17" t="s">
        <v>17</v>
      </c>
    </row>
    <row r="1200" spans="1:10" ht="25.5" x14ac:dyDescent="0.2">
      <c r="A1200" s="19" t="s">
        <v>780</v>
      </c>
      <c r="B1200" s="20" t="s">
        <v>383</v>
      </c>
      <c r="C1200" s="19" t="s">
        <v>15</v>
      </c>
      <c r="D1200" s="19" t="s">
        <v>384</v>
      </c>
      <c r="E1200" s="125">
        <v>40.04</v>
      </c>
      <c r="F1200" s="125"/>
      <c r="G1200" s="21" t="s">
        <v>281</v>
      </c>
      <c r="H1200" s="86">
        <v>1</v>
      </c>
      <c r="I1200" s="82">
        <v>27.66</v>
      </c>
      <c r="J1200" s="82">
        <v>27.66</v>
      </c>
    </row>
    <row r="1201" spans="1:10" ht="38.25" x14ac:dyDescent="0.2">
      <c r="A1201" s="87" t="s">
        <v>781</v>
      </c>
      <c r="B1201" s="88" t="s">
        <v>812</v>
      </c>
      <c r="C1201" s="87" t="s">
        <v>15</v>
      </c>
      <c r="D1201" s="87" t="s">
        <v>813</v>
      </c>
      <c r="E1201" s="126" t="s">
        <v>784</v>
      </c>
      <c r="F1201" s="126"/>
      <c r="G1201" s="89" t="s">
        <v>785</v>
      </c>
      <c r="H1201" s="90">
        <v>0.3</v>
      </c>
      <c r="I1201" s="91">
        <v>18.57</v>
      </c>
      <c r="J1201" s="91">
        <v>5.57</v>
      </c>
    </row>
    <row r="1202" spans="1:10" ht="38.25" x14ac:dyDescent="0.2">
      <c r="A1202" s="87" t="s">
        <v>781</v>
      </c>
      <c r="B1202" s="88" t="s">
        <v>814</v>
      </c>
      <c r="C1202" s="87" t="s">
        <v>15</v>
      </c>
      <c r="D1202" s="87" t="s">
        <v>815</v>
      </c>
      <c r="E1202" s="126" t="s">
        <v>784</v>
      </c>
      <c r="F1202" s="126"/>
      <c r="G1202" s="89" t="s">
        <v>785</v>
      </c>
      <c r="H1202" s="90">
        <v>0.3</v>
      </c>
      <c r="I1202" s="91">
        <v>27.08</v>
      </c>
      <c r="J1202" s="91">
        <v>8.1199999999999992</v>
      </c>
    </row>
    <row r="1203" spans="1:10" ht="38.25" x14ac:dyDescent="0.2">
      <c r="A1203" s="87" t="s">
        <v>781</v>
      </c>
      <c r="B1203" s="88" t="s">
        <v>1217</v>
      </c>
      <c r="C1203" s="87" t="s">
        <v>15</v>
      </c>
      <c r="D1203" s="87" t="s">
        <v>1218</v>
      </c>
      <c r="E1203" s="126" t="s">
        <v>794</v>
      </c>
      <c r="F1203" s="126"/>
      <c r="G1203" s="89" t="s">
        <v>281</v>
      </c>
      <c r="H1203" s="90">
        <v>1</v>
      </c>
      <c r="I1203" s="91">
        <v>13.97</v>
      </c>
      <c r="J1203" s="91">
        <v>13.97</v>
      </c>
    </row>
    <row r="1204" spans="1:10" ht="38.25" x14ac:dyDescent="0.2">
      <c r="A1204" s="92"/>
      <c r="B1204" s="92"/>
      <c r="C1204" s="92"/>
      <c r="D1204" s="92"/>
      <c r="E1204" s="92" t="s">
        <v>801</v>
      </c>
      <c r="F1204" s="93">
        <v>13.69</v>
      </c>
      <c r="G1204" s="92" t="s">
        <v>802</v>
      </c>
      <c r="H1204" s="93">
        <v>0</v>
      </c>
      <c r="I1204" s="92" t="s">
        <v>803</v>
      </c>
      <c r="J1204" s="93">
        <v>13.69</v>
      </c>
    </row>
    <row r="1205" spans="1:10" ht="38.25" x14ac:dyDescent="0.2">
      <c r="A1205" s="92"/>
      <c r="B1205" s="92"/>
      <c r="C1205" s="92"/>
      <c r="D1205" s="92"/>
      <c r="E1205" s="92" t="s">
        <v>804</v>
      </c>
      <c r="F1205" s="93">
        <v>7.97</v>
      </c>
      <c r="G1205" s="92"/>
      <c r="H1205" s="127" t="s">
        <v>805</v>
      </c>
      <c r="I1205" s="127"/>
      <c r="J1205" s="93">
        <v>35.630000000000003</v>
      </c>
    </row>
    <row r="1206" spans="1:10" ht="15" thickBot="1" x14ac:dyDescent="0.25">
      <c r="A1206" s="77"/>
      <c r="B1206" s="77"/>
      <c r="C1206" s="77"/>
      <c r="D1206" s="77"/>
      <c r="E1206" s="77"/>
      <c r="F1206" s="77"/>
      <c r="G1206" s="77" t="s">
        <v>806</v>
      </c>
      <c r="H1206" s="94">
        <v>2</v>
      </c>
      <c r="I1206" s="77" t="s">
        <v>807</v>
      </c>
      <c r="J1206" s="78">
        <v>71.260000000000005</v>
      </c>
    </row>
    <row r="1207" spans="1:10" ht="15" thickTop="1" x14ac:dyDescent="0.2">
      <c r="A1207" s="95"/>
      <c r="B1207" s="95"/>
      <c r="C1207" s="95"/>
      <c r="D1207" s="95"/>
      <c r="E1207" s="95"/>
      <c r="F1207" s="95"/>
      <c r="G1207" s="95"/>
      <c r="H1207" s="95"/>
      <c r="I1207" s="95"/>
      <c r="J1207" s="95"/>
    </row>
    <row r="1208" spans="1:10" ht="15" x14ac:dyDescent="0.2">
      <c r="A1208" s="75" t="s">
        <v>385</v>
      </c>
      <c r="B1208" s="17" t="s">
        <v>11</v>
      </c>
      <c r="C1208" s="75" t="s">
        <v>12</v>
      </c>
      <c r="D1208" s="75" t="s">
        <v>2</v>
      </c>
      <c r="E1208" s="124" t="s">
        <v>779</v>
      </c>
      <c r="F1208" s="124"/>
      <c r="G1208" s="76" t="s">
        <v>3</v>
      </c>
      <c r="H1208" s="17" t="s">
        <v>4</v>
      </c>
      <c r="I1208" s="17" t="s">
        <v>13</v>
      </c>
      <c r="J1208" s="17" t="s">
        <v>17</v>
      </c>
    </row>
    <row r="1209" spans="1:10" ht="25.5" x14ac:dyDescent="0.2">
      <c r="A1209" s="19" t="s">
        <v>780</v>
      </c>
      <c r="B1209" s="20" t="s">
        <v>386</v>
      </c>
      <c r="C1209" s="19" t="s">
        <v>15</v>
      </c>
      <c r="D1209" s="19" t="s">
        <v>387</v>
      </c>
      <c r="E1209" s="125">
        <v>69.2</v>
      </c>
      <c r="F1209" s="125"/>
      <c r="G1209" s="21" t="s">
        <v>32</v>
      </c>
      <c r="H1209" s="86">
        <v>1</v>
      </c>
      <c r="I1209" s="82">
        <v>22.01</v>
      </c>
      <c r="J1209" s="82">
        <v>22.01</v>
      </c>
    </row>
    <row r="1210" spans="1:10" ht="38.25" x14ac:dyDescent="0.2">
      <c r="A1210" s="87" t="s">
        <v>781</v>
      </c>
      <c r="B1210" s="88" t="s">
        <v>812</v>
      </c>
      <c r="C1210" s="87" t="s">
        <v>15</v>
      </c>
      <c r="D1210" s="87" t="s">
        <v>813</v>
      </c>
      <c r="E1210" s="126" t="s">
        <v>784</v>
      </c>
      <c r="F1210" s="126"/>
      <c r="G1210" s="89" t="s">
        <v>785</v>
      </c>
      <c r="H1210" s="90">
        <v>0.2</v>
      </c>
      <c r="I1210" s="91">
        <v>18.57</v>
      </c>
      <c r="J1210" s="91">
        <v>3.71</v>
      </c>
    </row>
    <row r="1211" spans="1:10" ht="38.25" x14ac:dyDescent="0.2">
      <c r="A1211" s="87" t="s">
        <v>781</v>
      </c>
      <c r="B1211" s="88" t="s">
        <v>814</v>
      </c>
      <c r="C1211" s="87" t="s">
        <v>15</v>
      </c>
      <c r="D1211" s="87" t="s">
        <v>815</v>
      </c>
      <c r="E1211" s="126" t="s">
        <v>784</v>
      </c>
      <c r="F1211" s="126"/>
      <c r="G1211" s="89" t="s">
        <v>785</v>
      </c>
      <c r="H1211" s="90">
        <v>0.2</v>
      </c>
      <c r="I1211" s="91">
        <v>27.08</v>
      </c>
      <c r="J1211" s="91">
        <v>5.41</v>
      </c>
    </row>
    <row r="1212" spans="1:10" ht="38.25" x14ac:dyDescent="0.2">
      <c r="A1212" s="87" t="s">
        <v>781</v>
      </c>
      <c r="B1212" s="88" t="s">
        <v>1219</v>
      </c>
      <c r="C1212" s="87" t="s">
        <v>15</v>
      </c>
      <c r="D1212" s="87" t="s">
        <v>1220</v>
      </c>
      <c r="E1212" s="126" t="s">
        <v>794</v>
      </c>
      <c r="F1212" s="126"/>
      <c r="G1212" s="89" t="s">
        <v>32</v>
      </c>
      <c r="H1212" s="90">
        <v>1</v>
      </c>
      <c r="I1212" s="91">
        <v>12.89</v>
      </c>
      <c r="J1212" s="91">
        <v>12.89</v>
      </c>
    </row>
    <row r="1213" spans="1:10" ht="38.25" x14ac:dyDescent="0.2">
      <c r="A1213" s="92"/>
      <c r="B1213" s="92"/>
      <c r="C1213" s="92"/>
      <c r="D1213" s="92"/>
      <c r="E1213" s="92" t="s">
        <v>801</v>
      </c>
      <c r="F1213" s="93">
        <v>9.1199999999999992</v>
      </c>
      <c r="G1213" s="92" t="s">
        <v>802</v>
      </c>
      <c r="H1213" s="93">
        <v>0</v>
      </c>
      <c r="I1213" s="92" t="s">
        <v>803</v>
      </c>
      <c r="J1213" s="93">
        <v>9.1199999999999992</v>
      </c>
    </row>
    <row r="1214" spans="1:10" ht="38.25" x14ac:dyDescent="0.2">
      <c r="A1214" s="92"/>
      <c r="B1214" s="92"/>
      <c r="C1214" s="92"/>
      <c r="D1214" s="92"/>
      <c r="E1214" s="92" t="s">
        <v>804</v>
      </c>
      <c r="F1214" s="93">
        <v>6.34</v>
      </c>
      <c r="G1214" s="92"/>
      <c r="H1214" s="127" t="s">
        <v>805</v>
      </c>
      <c r="I1214" s="127"/>
      <c r="J1214" s="93">
        <v>28.35</v>
      </c>
    </row>
    <row r="1215" spans="1:10" ht="15" thickBot="1" x14ac:dyDescent="0.25">
      <c r="A1215" s="77"/>
      <c r="B1215" s="77"/>
      <c r="C1215" s="77"/>
      <c r="D1215" s="77"/>
      <c r="E1215" s="77"/>
      <c r="F1215" s="77"/>
      <c r="G1215" s="77" t="s">
        <v>806</v>
      </c>
      <c r="H1215" s="94">
        <v>1</v>
      </c>
      <c r="I1215" s="77" t="s">
        <v>807</v>
      </c>
      <c r="J1215" s="78">
        <v>28.35</v>
      </c>
    </row>
    <row r="1216" spans="1:10" ht="15" thickTop="1" x14ac:dyDescent="0.2">
      <c r="A1216" s="95"/>
      <c r="B1216" s="95"/>
      <c r="C1216" s="95"/>
      <c r="D1216" s="95"/>
      <c r="E1216" s="95"/>
      <c r="F1216" s="95"/>
      <c r="G1216" s="95"/>
      <c r="H1216" s="95"/>
      <c r="I1216" s="95"/>
      <c r="J1216" s="95"/>
    </row>
    <row r="1217" spans="1:10" ht="15" x14ac:dyDescent="0.2">
      <c r="A1217" s="75" t="s">
        <v>388</v>
      </c>
      <c r="B1217" s="17" t="s">
        <v>11</v>
      </c>
      <c r="C1217" s="75" t="s">
        <v>12</v>
      </c>
      <c r="D1217" s="75" t="s">
        <v>2</v>
      </c>
      <c r="E1217" s="124" t="s">
        <v>779</v>
      </c>
      <c r="F1217" s="124"/>
      <c r="G1217" s="76" t="s">
        <v>3</v>
      </c>
      <c r="H1217" s="17" t="s">
        <v>4</v>
      </c>
      <c r="I1217" s="17" t="s">
        <v>13</v>
      </c>
      <c r="J1217" s="17" t="s">
        <v>17</v>
      </c>
    </row>
    <row r="1218" spans="1:10" ht="25.5" x14ac:dyDescent="0.2">
      <c r="A1218" s="19" t="s">
        <v>780</v>
      </c>
      <c r="B1218" s="20" t="s">
        <v>389</v>
      </c>
      <c r="C1218" s="19" t="s">
        <v>15</v>
      </c>
      <c r="D1218" s="19" t="s">
        <v>390</v>
      </c>
      <c r="E1218" s="125">
        <v>40.04</v>
      </c>
      <c r="F1218" s="125"/>
      <c r="G1218" s="21" t="s">
        <v>32</v>
      </c>
      <c r="H1218" s="86">
        <v>1</v>
      </c>
      <c r="I1218" s="82">
        <v>79.08</v>
      </c>
      <c r="J1218" s="82">
        <v>79.08</v>
      </c>
    </row>
    <row r="1219" spans="1:10" ht="38.25" x14ac:dyDescent="0.2">
      <c r="A1219" s="87" t="s">
        <v>781</v>
      </c>
      <c r="B1219" s="88" t="s">
        <v>812</v>
      </c>
      <c r="C1219" s="87" t="s">
        <v>15</v>
      </c>
      <c r="D1219" s="87" t="s">
        <v>813</v>
      </c>
      <c r="E1219" s="126" t="s">
        <v>784</v>
      </c>
      <c r="F1219" s="126"/>
      <c r="G1219" s="89" t="s">
        <v>785</v>
      </c>
      <c r="H1219" s="90">
        <v>0.3</v>
      </c>
      <c r="I1219" s="91">
        <v>18.57</v>
      </c>
      <c r="J1219" s="91">
        <v>5.57</v>
      </c>
    </row>
    <row r="1220" spans="1:10" ht="38.25" x14ac:dyDescent="0.2">
      <c r="A1220" s="87" t="s">
        <v>781</v>
      </c>
      <c r="B1220" s="88" t="s">
        <v>814</v>
      </c>
      <c r="C1220" s="87" t="s">
        <v>15</v>
      </c>
      <c r="D1220" s="87" t="s">
        <v>815</v>
      </c>
      <c r="E1220" s="126" t="s">
        <v>784</v>
      </c>
      <c r="F1220" s="126"/>
      <c r="G1220" s="89" t="s">
        <v>785</v>
      </c>
      <c r="H1220" s="90">
        <v>0.3</v>
      </c>
      <c r="I1220" s="91">
        <v>27.08</v>
      </c>
      <c r="J1220" s="91">
        <v>8.1199999999999992</v>
      </c>
    </row>
    <row r="1221" spans="1:10" ht="38.25" x14ac:dyDescent="0.2">
      <c r="A1221" s="87" t="s">
        <v>781</v>
      </c>
      <c r="B1221" s="88" t="s">
        <v>1221</v>
      </c>
      <c r="C1221" s="87" t="s">
        <v>15</v>
      </c>
      <c r="D1221" s="87" t="s">
        <v>1222</v>
      </c>
      <c r="E1221" s="126" t="s">
        <v>794</v>
      </c>
      <c r="F1221" s="126"/>
      <c r="G1221" s="89" t="s">
        <v>32</v>
      </c>
      <c r="H1221" s="90">
        <v>1</v>
      </c>
      <c r="I1221" s="91">
        <v>65.39</v>
      </c>
      <c r="J1221" s="91">
        <v>65.39</v>
      </c>
    </row>
    <row r="1222" spans="1:10" ht="38.25" x14ac:dyDescent="0.2">
      <c r="A1222" s="92"/>
      <c r="B1222" s="92"/>
      <c r="C1222" s="92"/>
      <c r="D1222" s="92"/>
      <c r="E1222" s="92" t="s">
        <v>801</v>
      </c>
      <c r="F1222" s="93">
        <v>13.69</v>
      </c>
      <c r="G1222" s="92" t="s">
        <v>802</v>
      </c>
      <c r="H1222" s="93">
        <v>0</v>
      </c>
      <c r="I1222" s="92" t="s">
        <v>803</v>
      </c>
      <c r="J1222" s="93">
        <v>13.69</v>
      </c>
    </row>
    <row r="1223" spans="1:10" ht="38.25" x14ac:dyDescent="0.2">
      <c r="A1223" s="92"/>
      <c r="B1223" s="92"/>
      <c r="C1223" s="92"/>
      <c r="D1223" s="92"/>
      <c r="E1223" s="92" t="s">
        <v>804</v>
      </c>
      <c r="F1223" s="93">
        <v>22.79</v>
      </c>
      <c r="G1223" s="92"/>
      <c r="H1223" s="127" t="s">
        <v>805</v>
      </c>
      <c r="I1223" s="127"/>
      <c r="J1223" s="93">
        <v>101.87</v>
      </c>
    </row>
    <row r="1224" spans="1:10" ht="15" thickBot="1" x14ac:dyDescent="0.25">
      <c r="A1224" s="77"/>
      <c r="B1224" s="77"/>
      <c r="C1224" s="77"/>
      <c r="D1224" s="77"/>
      <c r="E1224" s="77"/>
      <c r="F1224" s="77"/>
      <c r="G1224" s="77" t="s">
        <v>806</v>
      </c>
      <c r="H1224" s="94">
        <v>1</v>
      </c>
      <c r="I1224" s="77" t="s">
        <v>807</v>
      </c>
      <c r="J1224" s="78">
        <v>101.87</v>
      </c>
    </row>
    <row r="1225" spans="1:10" ht="15" thickTop="1" x14ac:dyDescent="0.2">
      <c r="A1225" s="95"/>
      <c r="B1225" s="95"/>
      <c r="C1225" s="95"/>
      <c r="D1225" s="95"/>
      <c r="E1225" s="95"/>
      <c r="F1225" s="95"/>
      <c r="G1225" s="95"/>
      <c r="H1225" s="95"/>
      <c r="I1225" s="95"/>
      <c r="J1225" s="95"/>
    </row>
    <row r="1226" spans="1:10" ht="15" x14ac:dyDescent="0.2">
      <c r="A1226" s="75" t="s">
        <v>391</v>
      </c>
      <c r="B1226" s="17" t="s">
        <v>11</v>
      </c>
      <c r="C1226" s="75" t="s">
        <v>12</v>
      </c>
      <c r="D1226" s="75" t="s">
        <v>2</v>
      </c>
      <c r="E1226" s="124" t="s">
        <v>779</v>
      </c>
      <c r="F1226" s="124"/>
      <c r="G1226" s="76" t="s">
        <v>3</v>
      </c>
      <c r="H1226" s="17" t="s">
        <v>4</v>
      </c>
      <c r="I1226" s="17" t="s">
        <v>13</v>
      </c>
      <c r="J1226" s="17" t="s">
        <v>17</v>
      </c>
    </row>
    <row r="1227" spans="1:10" ht="25.5" x14ac:dyDescent="0.2">
      <c r="A1227" s="19" t="s">
        <v>780</v>
      </c>
      <c r="B1227" s="20" t="s">
        <v>688</v>
      </c>
      <c r="C1227" s="19" t="s">
        <v>15</v>
      </c>
      <c r="D1227" s="19" t="s">
        <v>689</v>
      </c>
      <c r="E1227" s="125">
        <v>40.049999999999997</v>
      </c>
      <c r="F1227" s="125"/>
      <c r="G1227" s="21" t="s">
        <v>281</v>
      </c>
      <c r="H1227" s="86">
        <v>1</v>
      </c>
      <c r="I1227" s="82">
        <v>39.520000000000003</v>
      </c>
      <c r="J1227" s="82">
        <v>39.520000000000003</v>
      </c>
    </row>
    <row r="1228" spans="1:10" ht="38.25" x14ac:dyDescent="0.2">
      <c r="A1228" s="87" t="s">
        <v>781</v>
      </c>
      <c r="B1228" s="88" t="s">
        <v>812</v>
      </c>
      <c r="C1228" s="87" t="s">
        <v>15</v>
      </c>
      <c r="D1228" s="87" t="s">
        <v>813</v>
      </c>
      <c r="E1228" s="126" t="s">
        <v>784</v>
      </c>
      <c r="F1228" s="126"/>
      <c r="G1228" s="89" t="s">
        <v>785</v>
      </c>
      <c r="H1228" s="90">
        <v>0.35</v>
      </c>
      <c r="I1228" s="91">
        <v>18.57</v>
      </c>
      <c r="J1228" s="91">
        <v>6.49</v>
      </c>
    </row>
    <row r="1229" spans="1:10" ht="38.25" x14ac:dyDescent="0.2">
      <c r="A1229" s="87" t="s">
        <v>781</v>
      </c>
      <c r="B1229" s="88" t="s">
        <v>814</v>
      </c>
      <c r="C1229" s="87" t="s">
        <v>15</v>
      </c>
      <c r="D1229" s="87" t="s">
        <v>815</v>
      </c>
      <c r="E1229" s="126" t="s">
        <v>784</v>
      </c>
      <c r="F1229" s="126"/>
      <c r="G1229" s="89" t="s">
        <v>785</v>
      </c>
      <c r="H1229" s="90">
        <v>0.35</v>
      </c>
      <c r="I1229" s="91">
        <v>27.08</v>
      </c>
      <c r="J1229" s="91">
        <v>9.4700000000000006</v>
      </c>
    </row>
    <row r="1230" spans="1:10" ht="38.25" x14ac:dyDescent="0.2">
      <c r="A1230" s="87" t="s">
        <v>781</v>
      </c>
      <c r="B1230" s="88" t="s">
        <v>1223</v>
      </c>
      <c r="C1230" s="87" t="s">
        <v>15</v>
      </c>
      <c r="D1230" s="87" t="s">
        <v>1224</v>
      </c>
      <c r="E1230" s="126" t="s">
        <v>794</v>
      </c>
      <c r="F1230" s="126"/>
      <c r="G1230" s="89" t="s">
        <v>281</v>
      </c>
      <c r="H1230" s="90">
        <v>1</v>
      </c>
      <c r="I1230" s="91">
        <v>23.56</v>
      </c>
      <c r="J1230" s="91">
        <v>23.56</v>
      </c>
    </row>
    <row r="1231" spans="1:10" ht="38.25" x14ac:dyDescent="0.2">
      <c r="A1231" s="92"/>
      <c r="B1231" s="92"/>
      <c r="C1231" s="92"/>
      <c r="D1231" s="92"/>
      <c r="E1231" s="92" t="s">
        <v>801</v>
      </c>
      <c r="F1231" s="93">
        <v>15.96</v>
      </c>
      <c r="G1231" s="92" t="s">
        <v>802</v>
      </c>
      <c r="H1231" s="93">
        <v>0</v>
      </c>
      <c r="I1231" s="92" t="s">
        <v>803</v>
      </c>
      <c r="J1231" s="93">
        <v>15.96</v>
      </c>
    </row>
    <row r="1232" spans="1:10" ht="38.25" x14ac:dyDescent="0.2">
      <c r="A1232" s="92"/>
      <c r="B1232" s="92"/>
      <c r="C1232" s="92"/>
      <c r="D1232" s="92"/>
      <c r="E1232" s="92" t="s">
        <v>804</v>
      </c>
      <c r="F1232" s="93">
        <v>11.38</v>
      </c>
      <c r="G1232" s="92"/>
      <c r="H1232" s="127" t="s">
        <v>805</v>
      </c>
      <c r="I1232" s="127"/>
      <c r="J1232" s="93">
        <v>50.9</v>
      </c>
    </row>
    <row r="1233" spans="1:10" ht="15" thickBot="1" x14ac:dyDescent="0.25">
      <c r="A1233" s="77"/>
      <c r="B1233" s="77"/>
      <c r="C1233" s="77"/>
      <c r="D1233" s="77"/>
      <c r="E1233" s="77"/>
      <c r="F1233" s="77"/>
      <c r="G1233" s="77" t="s">
        <v>806</v>
      </c>
      <c r="H1233" s="94">
        <v>2</v>
      </c>
      <c r="I1233" s="77" t="s">
        <v>807</v>
      </c>
      <c r="J1233" s="78">
        <v>101.8</v>
      </c>
    </row>
    <row r="1234" spans="1:10" ht="15" thickTop="1" x14ac:dyDescent="0.2">
      <c r="A1234" s="95"/>
      <c r="B1234" s="95"/>
      <c r="C1234" s="95"/>
      <c r="D1234" s="95"/>
      <c r="E1234" s="95"/>
      <c r="F1234" s="95"/>
      <c r="G1234" s="95"/>
      <c r="H1234" s="95"/>
      <c r="I1234" s="95"/>
      <c r="J1234" s="95"/>
    </row>
    <row r="1235" spans="1:10" ht="15" x14ac:dyDescent="0.2">
      <c r="A1235" s="75" t="s">
        <v>392</v>
      </c>
      <c r="B1235" s="17" t="s">
        <v>11</v>
      </c>
      <c r="C1235" s="75" t="s">
        <v>12</v>
      </c>
      <c r="D1235" s="75" t="s">
        <v>2</v>
      </c>
      <c r="E1235" s="124" t="s">
        <v>779</v>
      </c>
      <c r="F1235" s="124"/>
      <c r="G1235" s="76" t="s">
        <v>3</v>
      </c>
      <c r="H1235" s="17" t="s">
        <v>4</v>
      </c>
      <c r="I1235" s="17" t="s">
        <v>13</v>
      </c>
      <c r="J1235" s="17" t="s">
        <v>17</v>
      </c>
    </row>
    <row r="1236" spans="1:10" ht="25.5" x14ac:dyDescent="0.2">
      <c r="A1236" s="19" t="s">
        <v>780</v>
      </c>
      <c r="B1236" s="20" t="s">
        <v>393</v>
      </c>
      <c r="C1236" s="19" t="s">
        <v>15</v>
      </c>
      <c r="D1236" s="19" t="s">
        <v>394</v>
      </c>
      <c r="E1236" s="125">
        <v>40.049999999999997</v>
      </c>
      <c r="F1236" s="125"/>
      <c r="G1236" s="21" t="s">
        <v>281</v>
      </c>
      <c r="H1236" s="86">
        <v>1</v>
      </c>
      <c r="I1236" s="82">
        <v>29.18</v>
      </c>
      <c r="J1236" s="82">
        <v>29.18</v>
      </c>
    </row>
    <row r="1237" spans="1:10" ht="38.25" x14ac:dyDescent="0.2">
      <c r="A1237" s="87" t="s">
        <v>781</v>
      </c>
      <c r="B1237" s="88" t="s">
        <v>814</v>
      </c>
      <c r="C1237" s="87" t="s">
        <v>15</v>
      </c>
      <c r="D1237" s="87" t="s">
        <v>815</v>
      </c>
      <c r="E1237" s="126" t="s">
        <v>784</v>
      </c>
      <c r="F1237" s="126"/>
      <c r="G1237" s="89" t="s">
        <v>785</v>
      </c>
      <c r="H1237" s="90">
        <v>0.34</v>
      </c>
      <c r="I1237" s="91">
        <v>27.08</v>
      </c>
      <c r="J1237" s="91">
        <v>9.1999999999999993</v>
      </c>
    </row>
    <row r="1238" spans="1:10" ht="38.25" x14ac:dyDescent="0.2">
      <c r="A1238" s="87" t="s">
        <v>781</v>
      </c>
      <c r="B1238" s="88" t="s">
        <v>812</v>
      </c>
      <c r="C1238" s="87" t="s">
        <v>15</v>
      </c>
      <c r="D1238" s="87" t="s">
        <v>813</v>
      </c>
      <c r="E1238" s="126" t="s">
        <v>784</v>
      </c>
      <c r="F1238" s="126"/>
      <c r="G1238" s="89" t="s">
        <v>785</v>
      </c>
      <c r="H1238" s="90">
        <v>0.34</v>
      </c>
      <c r="I1238" s="91">
        <v>18.57</v>
      </c>
      <c r="J1238" s="91">
        <v>6.31</v>
      </c>
    </row>
    <row r="1239" spans="1:10" ht="38.25" x14ac:dyDescent="0.2">
      <c r="A1239" s="87" t="s">
        <v>781</v>
      </c>
      <c r="B1239" s="88" t="s">
        <v>1225</v>
      </c>
      <c r="C1239" s="87" t="s">
        <v>15</v>
      </c>
      <c r="D1239" s="87" t="s">
        <v>1226</v>
      </c>
      <c r="E1239" s="126" t="s">
        <v>794</v>
      </c>
      <c r="F1239" s="126"/>
      <c r="G1239" s="89" t="s">
        <v>281</v>
      </c>
      <c r="H1239" s="90">
        <v>1</v>
      </c>
      <c r="I1239" s="91">
        <v>13.67</v>
      </c>
      <c r="J1239" s="91">
        <v>13.67</v>
      </c>
    </row>
    <row r="1240" spans="1:10" ht="38.25" x14ac:dyDescent="0.2">
      <c r="A1240" s="92"/>
      <c r="B1240" s="92"/>
      <c r="C1240" s="92"/>
      <c r="D1240" s="92"/>
      <c r="E1240" s="92" t="s">
        <v>801</v>
      </c>
      <c r="F1240" s="93">
        <v>15.51</v>
      </c>
      <c r="G1240" s="92" t="s">
        <v>802</v>
      </c>
      <c r="H1240" s="93">
        <v>0</v>
      </c>
      <c r="I1240" s="92" t="s">
        <v>803</v>
      </c>
      <c r="J1240" s="93">
        <v>15.51</v>
      </c>
    </row>
    <row r="1241" spans="1:10" ht="38.25" x14ac:dyDescent="0.2">
      <c r="A1241" s="92"/>
      <c r="B1241" s="92"/>
      <c r="C1241" s="92"/>
      <c r="D1241" s="92"/>
      <c r="E1241" s="92" t="s">
        <v>804</v>
      </c>
      <c r="F1241" s="93">
        <v>8.4</v>
      </c>
      <c r="G1241" s="92"/>
      <c r="H1241" s="127" t="s">
        <v>805</v>
      </c>
      <c r="I1241" s="127"/>
      <c r="J1241" s="93">
        <v>37.58</v>
      </c>
    </row>
    <row r="1242" spans="1:10" ht="15" thickBot="1" x14ac:dyDescent="0.25">
      <c r="A1242" s="77"/>
      <c r="B1242" s="77"/>
      <c r="C1242" s="77"/>
      <c r="D1242" s="77"/>
      <c r="E1242" s="77"/>
      <c r="F1242" s="77"/>
      <c r="G1242" s="77" t="s">
        <v>806</v>
      </c>
      <c r="H1242" s="94">
        <v>1</v>
      </c>
      <c r="I1242" s="77" t="s">
        <v>807</v>
      </c>
      <c r="J1242" s="78">
        <v>37.58</v>
      </c>
    </row>
    <row r="1243" spans="1:10" ht="15" thickTop="1" x14ac:dyDescent="0.2">
      <c r="A1243" s="95"/>
      <c r="B1243" s="95"/>
      <c r="C1243" s="95"/>
      <c r="D1243" s="95"/>
      <c r="E1243" s="95"/>
      <c r="F1243" s="95"/>
      <c r="G1243" s="95"/>
      <c r="H1243" s="95"/>
      <c r="I1243" s="95"/>
      <c r="J1243" s="95"/>
    </row>
    <row r="1244" spans="1:10" x14ac:dyDescent="0.2">
      <c r="A1244" s="18" t="s">
        <v>395</v>
      </c>
      <c r="B1244" s="18"/>
      <c r="C1244" s="18"/>
      <c r="D1244" s="18" t="s">
        <v>396</v>
      </c>
      <c r="E1244" s="18"/>
      <c r="F1244" s="122"/>
      <c r="G1244" s="122"/>
      <c r="H1244" s="39"/>
      <c r="I1244" s="18"/>
      <c r="J1244" s="80">
        <v>8017.36</v>
      </c>
    </row>
    <row r="1245" spans="1:10" ht="15" x14ac:dyDescent="0.2">
      <c r="A1245" s="75" t="s">
        <v>397</v>
      </c>
      <c r="B1245" s="17" t="s">
        <v>11</v>
      </c>
      <c r="C1245" s="75" t="s">
        <v>12</v>
      </c>
      <c r="D1245" s="75" t="s">
        <v>2</v>
      </c>
      <c r="E1245" s="124" t="s">
        <v>779</v>
      </c>
      <c r="F1245" s="124"/>
      <c r="G1245" s="76" t="s">
        <v>3</v>
      </c>
      <c r="H1245" s="17" t="s">
        <v>4</v>
      </c>
      <c r="I1245" s="17" t="s">
        <v>13</v>
      </c>
      <c r="J1245" s="17" t="s">
        <v>17</v>
      </c>
    </row>
    <row r="1246" spans="1:10" ht="25.5" x14ac:dyDescent="0.2">
      <c r="A1246" s="19" t="s">
        <v>780</v>
      </c>
      <c r="B1246" s="20" t="s">
        <v>400</v>
      </c>
      <c r="C1246" s="19" t="s">
        <v>240</v>
      </c>
      <c r="D1246" s="19" t="s">
        <v>401</v>
      </c>
      <c r="E1246" s="125" t="s">
        <v>1227</v>
      </c>
      <c r="F1246" s="125"/>
      <c r="G1246" s="21" t="s">
        <v>32</v>
      </c>
      <c r="H1246" s="86">
        <v>1</v>
      </c>
      <c r="I1246" s="82">
        <v>68.55</v>
      </c>
      <c r="J1246" s="82">
        <v>68.55</v>
      </c>
    </row>
    <row r="1247" spans="1:10" x14ac:dyDescent="0.2">
      <c r="A1247" s="87" t="s">
        <v>781</v>
      </c>
      <c r="B1247" s="88" t="s">
        <v>1228</v>
      </c>
      <c r="C1247" s="87" t="s">
        <v>240</v>
      </c>
      <c r="D1247" s="87" t="s">
        <v>1229</v>
      </c>
      <c r="E1247" s="126" t="s">
        <v>794</v>
      </c>
      <c r="F1247" s="126"/>
      <c r="G1247" s="89" t="s">
        <v>78</v>
      </c>
      <c r="H1247" s="90">
        <v>0.1</v>
      </c>
      <c r="I1247" s="91">
        <v>1.03</v>
      </c>
      <c r="J1247" s="91">
        <v>0.1</v>
      </c>
    </row>
    <row r="1248" spans="1:10" ht="38.25" x14ac:dyDescent="0.2">
      <c r="A1248" s="87" t="s">
        <v>781</v>
      </c>
      <c r="B1248" s="88" t="s">
        <v>1230</v>
      </c>
      <c r="C1248" s="87" t="s">
        <v>240</v>
      </c>
      <c r="D1248" s="87" t="s">
        <v>1231</v>
      </c>
      <c r="E1248" s="126" t="s">
        <v>794</v>
      </c>
      <c r="F1248" s="126"/>
      <c r="G1248" s="89" t="s">
        <v>32</v>
      </c>
      <c r="H1248" s="90">
        <v>1</v>
      </c>
      <c r="I1248" s="91">
        <v>22.3</v>
      </c>
      <c r="J1248" s="91">
        <v>22.3</v>
      </c>
    </row>
    <row r="1249" spans="1:10" x14ac:dyDescent="0.2">
      <c r="A1249" s="87" t="s">
        <v>781</v>
      </c>
      <c r="B1249" s="88" t="s">
        <v>1232</v>
      </c>
      <c r="C1249" s="87" t="s">
        <v>240</v>
      </c>
      <c r="D1249" s="87" t="s">
        <v>1233</v>
      </c>
      <c r="E1249" s="126" t="s">
        <v>784</v>
      </c>
      <c r="F1249" s="126"/>
      <c r="G1249" s="89" t="s">
        <v>785</v>
      </c>
      <c r="H1249" s="90">
        <v>1.0309999999999999</v>
      </c>
      <c r="I1249" s="91">
        <v>24.58</v>
      </c>
      <c r="J1249" s="91">
        <v>25.34</v>
      </c>
    </row>
    <row r="1250" spans="1:10" x14ac:dyDescent="0.2">
      <c r="A1250" s="87" t="s">
        <v>781</v>
      </c>
      <c r="B1250" s="88" t="s">
        <v>1234</v>
      </c>
      <c r="C1250" s="87" t="s">
        <v>240</v>
      </c>
      <c r="D1250" s="87" t="s">
        <v>1235</v>
      </c>
      <c r="E1250" s="126" t="s">
        <v>784</v>
      </c>
      <c r="F1250" s="126"/>
      <c r="G1250" s="89" t="s">
        <v>785</v>
      </c>
      <c r="H1250" s="90">
        <v>1.0309999999999999</v>
      </c>
      <c r="I1250" s="91">
        <v>20.190000000000001</v>
      </c>
      <c r="J1250" s="91">
        <v>20.81</v>
      </c>
    </row>
    <row r="1251" spans="1:10" ht="38.25" x14ac:dyDescent="0.2">
      <c r="A1251" s="92"/>
      <c r="B1251" s="92"/>
      <c r="C1251" s="92"/>
      <c r="D1251" s="92"/>
      <c r="E1251" s="92" t="s">
        <v>801</v>
      </c>
      <c r="F1251" s="93">
        <v>46.15</v>
      </c>
      <c r="G1251" s="92" t="s">
        <v>802</v>
      </c>
      <c r="H1251" s="93">
        <v>0</v>
      </c>
      <c r="I1251" s="92" t="s">
        <v>803</v>
      </c>
      <c r="J1251" s="93">
        <v>46.15</v>
      </c>
    </row>
    <row r="1252" spans="1:10" ht="38.25" x14ac:dyDescent="0.2">
      <c r="A1252" s="92"/>
      <c r="B1252" s="92"/>
      <c r="C1252" s="92"/>
      <c r="D1252" s="92"/>
      <c r="E1252" s="92" t="s">
        <v>804</v>
      </c>
      <c r="F1252" s="93">
        <v>19.75</v>
      </c>
      <c r="G1252" s="92"/>
      <c r="H1252" s="127" t="s">
        <v>805</v>
      </c>
      <c r="I1252" s="127"/>
      <c r="J1252" s="93">
        <v>88.3</v>
      </c>
    </row>
    <row r="1253" spans="1:10" ht="15" thickBot="1" x14ac:dyDescent="0.25">
      <c r="A1253" s="77"/>
      <c r="B1253" s="77"/>
      <c r="C1253" s="77"/>
      <c r="D1253" s="77"/>
      <c r="E1253" s="77"/>
      <c r="F1253" s="77"/>
      <c r="G1253" s="77" t="s">
        <v>806</v>
      </c>
      <c r="H1253" s="94">
        <v>3</v>
      </c>
      <c r="I1253" s="77" t="s">
        <v>807</v>
      </c>
      <c r="J1253" s="78">
        <v>264.89999999999998</v>
      </c>
    </row>
    <row r="1254" spans="1:10" ht="15" thickTop="1" x14ac:dyDescent="0.2">
      <c r="A1254" s="95"/>
      <c r="B1254" s="95"/>
      <c r="C1254" s="95"/>
      <c r="D1254" s="95"/>
      <c r="E1254" s="95"/>
      <c r="F1254" s="95"/>
      <c r="G1254" s="95"/>
      <c r="H1254" s="95"/>
      <c r="I1254" s="95"/>
      <c r="J1254" s="95"/>
    </row>
    <row r="1255" spans="1:10" ht="15" x14ac:dyDescent="0.2">
      <c r="A1255" s="75" t="s">
        <v>398</v>
      </c>
      <c r="B1255" s="17" t="s">
        <v>11</v>
      </c>
      <c r="C1255" s="75" t="s">
        <v>12</v>
      </c>
      <c r="D1255" s="75" t="s">
        <v>2</v>
      </c>
      <c r="E1255" s="124" t="s">
        <v>779</v>
      </c>
      <c r="F1255" s="124"/>
      <c r="G1255" s="76" t="s">
        <v>3</v>
      </c>
      <c r="H1255" s="17" t="s">
        <v>4</v>
      </c>
      <c r="I1255" s="17" t="s">
        <v>13</v>
      </c>
      <c r="J1255" s="17" t="s">
        <v>17</v>
      </c>
    </row>
    <row r="1256" spans="1:10" ht="25.5" x14ac:dyDescent="0.2">
      <c r="A1256" s="19" t="s">
        <v>780</v>
      </c>
      <c r="B1256" s="20" t="s">
        <v>690</v>
      </c>
      <c r="C1256" s="19" t="s">
        <v>240</v>
      </c>
      <c r="D1256" s="19" t="s">
        <v>691</v>
      </c>
      <c r="E1256" s="125" t="s">
        <v>1227</v>
      </c>
      <c r="F1256" s="125"/>
      <c r="G1256" s="21" t="s">
        <v>32</v>
      </c>
      <c r="H1256" s="86">
        <v>1</v>
      </c>
      <c r="I1256" s="82">
        <v>147.36000000000001</v>
      </c>
      <c r="J1256" s="82">
        <v>147.36000000000001</v>
      </c>
    </row>
    <row r="1257" spans="1:10" x14ac:dyDescent="0.2">
      <c r="A1257" s="87" t="s">
        <v>781</v>
      </c>
      <c r="B1257" s="88" t="s">
        <v>1236</v>
      </c>
      <c r="C1257" s="87" t="s">
        <v>240</v>
      </c>
      <c r="D1257" s="87" t="s">
        <v>1237</v>
      </c>
      <c r="E1257" s="126" t="s">
        <v>794</v>
      </c>
      <c r="F1257" s="126"/>
      <c r="G1257" s="89" t="s">
        <v>32</v>
      </c>
      <c r="H1257" s="90">
        <v>1</v>
      </c>
      <c r="I1257" s="91">
        <v>62.39</v>
      </c>
      <c r="J1257" s="91">
        <v>62.39</v>
      </c>
    </row>
    <row r="1258" spans="1:10" x14ac:dyDescent="0.2">
      <c r="A1258" s="87" t="s">
        <v>781</v>
      </c>
      <c r="B1258" s="88" t="s">
        <v>1228</v>
      </c>
      <c r="C1258" s="87" t="s">
        <v>240</v>
      </c>
      <c r="D1258" s="87" t="s">
        <v>1229</v>
      </c>
      <c r="E1258" s="126" t="s">
        <v>794</v>
      </c>
      <c r="F1258" s="126"/>
      <c r="G1258" s="89" t="s">
        <v>78</v>
      </c>
      <c r="H1258" s="90">
        <v>0.3</v>
      </c>
      <c r="I1258" s="91">
        <v>1.03</v>
      </c>
      <c r="J1258" s="91">
        <v>0.3</v>
      </c>
    </row>
    <row r="1259" spans="1:10" x14ac:dyDescent="0.2">
      <c r="A1259" s="87" t="s">
        <v>781</v>
      </c>
      <c r="B1259" s="88" t="s">
        <v>1238</v>
      </c>
      <c r="C1259" s="87" t="s">
        <v>240</v>
      </c>
      <c r="D1259" s="87" t="s">
        <v>1239</v>
      </c>
      <c r="E1259" s="126" t="s">
        <v>794</v>
      </c>
      <c r="F1259" s="126"/>
      <c r="G1259" s="89" t="s">
        <v>32</v>
      </c>
      <c r="H1259" s="90">
        <v>2</v>
      </c>
      <c r="I1259" s="91">
        <v>4.08</v>
      </c>
      <c r="J1259" s="91">
        <v>8.16</v>
      </c>
    </row>
    <row r="1260" spans="1:10" x14ac:dyDescent="0.2">
      <c r="A1260" s="87" t="s">
        <v>781</v>
      </c>
      <c r="B1260" s="88" t="s">
        <v>1240</v>
      </c>
      <c r="C1260" s="87" t="s">
        <v>240</v>
      </c>
      <c r="D1260" s="87" t="s">
        <v>1241</v>
      </c>
      <c r="E1260" s="126" t="s">
        <v>794</v>
      </c>
      <c r="F1260" s="126"/>
      <c r="G1260" s="89" t="s">
        <v>78</v>
      </c>
      <c r="H1260" s="90">
        <v>2</v>
      </c>
      <c r="I1260" s="91">
        <v>15.18</v>
      </c>
      <c r="J1260" s="91">
        <v>30.36</v>
      </c>
    </row>
    <row r="1261" spans="1:10" x14ac:dyDescent="0.2">
      <c r="A1261" s="87" t="s">
        <v>781</v>
      </c>
      <c r="B1261" s="88" t="s">
        <v>1232</v>
      </c>
      <c r="C1261" s="87" t="s">
        <v>240</v>
      </c>
      <c r="D1261" s="87" t="s">
        <v>1233</v>
      </c>
      <c r="E1261" s="126" t="s">
        <v>784</v>
      </c>
      <c r="F1261" s="126"/>
      <c r="G1261" s="89" t="s">
        <v>785</v>
      </c>
      <c r="H1261" s="90">
        <v>1.0309999999999999</v>
      </c>
      <c r="I1261" s="91">
        <v>24.58</v>
      </c>
      <c r="J1261" s="91">
        <v>25.34</v>
      </c>
    </row>
    <row r="1262" spans="1:10" x14ac:dyDescent="0.2">
      <c r="A1262" s="87" t="s">
        <v>781</v>
      </c>
      <c r="B1262" s="88" t="s">
        <v>1234</v>
      </c>
      <c r="C1262" s="87" t="s">
        <v>240</v>
      </c>
      <c r="D1262" s="87" t="s">
        <v>1235</v>
      </c>
      <c r="E1262" s="126" t="s">
        <v>784</v>
      </c>
      <c r="F1262" s="126"/>
      <c r="G1262" s="89" t="s">
        <v>785</v>
      </c>
      <c r="H1262" s="90">
        <v>1.0309999999999999</v>
      </c>
      <c r="I1262" s="91">
        <v>20.190000000000001</v>
      </c>
      <c r="J1262" s="91">
        <v>20.81</v>
      </c>
    </row>
    <row r="1263" spans="1:10" ht="38.25" x14ac:dyDescent="0.2">
      <c r="A1263" s="92"/>
      <c r="B1263" s="92"/>
      <c r="C1263" s="92"/>
      <c r="D1263" s="92"/>
      <c r="E1263" s="92" t="s">
        <v>801</v>
      </c>
      <c r="F1263" s="93">
        <v>46.15</v>
      </c>
      <c r="G1263" s="92" t="s">
        <v>802</v>
      </c>
      <c r="H1263" s="93">
        <v>0</v>
      </c>
      <c r="I1263" s="92" t="s">
        <v>803</v>
      </c>
      <c r="J1263" s="93">
        <v>46.15</v>
      </c>
    </row>
    <row r="1264" spans="1:10" ht="38.25" x14ac:dyDescent="0.2">
      <c r="A1264" s="92"/>
      <c r="B1264" s="92"/>
      <c r="C1264" s="92"/>
      <c r="D1264" s="92"/>
      <c r="E1264" s="92" t="s">
        <v>804</v>
      </c>
      <c r="F1264" s="93">
        <v>42.46</v>
      </c>
      <c r="G1264" s="92"/>
      <c r="H1264" s="127" t="s">
        <v>805</v>
      </c>
      <c r="I1264" s="127"/>
      <c r="J1264" s="93">
        <v>189.82</v>
      </c>
    </row>
    <row r="1265" spans="1:10" ht="15" thickBot="1" x14ac:dyDescent="0.25">
      <c r="A1265" s="77"/>
      <c r="B1265" s="77"/>
      <c r="C1265" s="77"/>
      <c r="D1265" s="77"/>
      <c r="E1265" s="77"/>
      <c r="F1265" s="77"/>
      <c r="G1265" s="77" t="s">
        <v>806</v>
      </c>
      <c r="H1265" s="94">
        <v>23</v>
      </c>
      <c r="I1265" s="77" t="s">
        <v>807</v>
      </c>
      <c r="J1265" s="78">
        <v>4365.8599999999997</v>
      </c>
    </row>
    <row r="1266" spans="1:10" ht="15" thickTop="1" x14ac:dyDescent="0.2">
      <c r="A1266" s="95"/>
      <c r="B1266" s="95"/>
      <c r="C1266" s="95"/>
      <c r="D1266" s="95"/>
      <c r="E1266" s="95"/>
      <c r="F1266" s="95"/>
      <c r="G1266" s="95"/>
      <c r="H1266" s="95"/>
      <c r="I1266" s="95"/>
      <c r="J1266" s="95"/>
    </row>
    <row r="1267" spans="1:10" ht="15" x14ac:dyDescent="0.2">
      <c r="A1267" s="75" t="s">
        <v>399</v>
      </c>
      <c r="B1267" s="17" t="s">
        <v>11</v>
      </c>
      <c r="C1267" s="75" t="s">
        <v>12</v>
      </c>
      <c r="D1267" s="75" t="s">
        <v>2</v>
      </c>
      <c r="E1267" s="124" t="s">
        <v>779</v>
      </c>
      <c r="F1267" s="124"/>
      <c r="G1267" s="76" t="s">
        <v>3</v>
      </c>
      <c r="H1267" s="17" t="s">
        <v>4</v>
      </c>
      <c r="I1267" s="17" t="s">
        <v>13</v>
      </c>
      <c r="J1267" s="17" t="s">
        <v>17</v>
      </c>
    </row>
    <row r="1268" spans="1:10" ht="25.5" x14ac:dyDescent="0.2">
      <c r="A1268" s="19" t="s">
        <v>780</v>
      </c>
      <c r="B1268" s="20" t="s">
        <v>692</v>
      </c>
      <c r="C1268" s="19" t="s">
        <v>240</v>
      </c>
      <c r="D1268" s="19" t="s">
        <v>693</v>
      </c>
      <c r="E1268" s="125" t="s">
        <v>1227</v>
      </c>
      <c r="F1268" s="125"/>
      <c r="G1268" s="21" t="s">
        <v>32</v>
      </c>
      <c r="H1268" s="86">
        <v>1</v>
      </c>
      <c r="I1268" s="82">
        <v>375.57</v>
      </c>
      <c r="J1268" s="82">
        <v>375.57</v>
      </c>
    </row>
    <row r="1269" spans="1:10" x14ac:dyDescent="0.2">
      <c r="A1269" s="87" t="s">
        <v>781</v>
      </c>
      <c r="B1269" s="88" t="s">
        <v>1228</v>
      </c>
      <c r="C1269" s="87" t="s">
        <v>240</v>
      </c>
      <c r="D1269" s="87" t="s">
        <v>1229</v>
      </c>
      <c r="E1269" s="126" t="s">
        <v>794</v>
      </c>
      <c r="F1269" s="126"/>
      <c r="G1269" s="89" t="s">
        <v>78</v>
      </c>
      <c r="H1269" s="90">
        <v>0.2</v>
      </c>
      <c r="I1269" s="91">
        <v>1.03</v>
      </c>
      <c r="J1269" s="91">
        <v>0.2</v>
      </c>
    </row>
    <row r="1270" spans="1:10" ht="25.5" x14ac:dyDescent="0.2">
      <c r="A1270" s="87" t="s">
        <v>781</v>
      </c>
      <c r="B1270" s="88" t="s">
        <v>1242</v>
      </c>
      <c r="C1270" s="87" t="s">
        <v>240</v>
      </c>
      <c r="D1270" s="87" t="s">
        <v>1243</v>
      </c>
      <c r="E1270" s="126" t="s">
        <v>794</v>
      </c>
      <c r="F1270" s="126"/>
      <c r="G1270" s="89" t="s">
        <v>32</v>
      </c>
      <c r="H1270" s="90">
        <v>1</v>
      </c>
      <c r="I1270" s="91">
        <v>320</v>
      </c>
      <c r="J1270" s="91">
        <v>320</v>
      </c>
    </row>
    <row r="1271" spans="1:10" x14ac:dyDescent="0.2">
      <c r="A1271" s="87" t="s">
        <v>781</v>
      </c>
      <c r="B1271" s="88" t="s">
        <v>1232</v>
      </c>
      <c r="C1271" s="87" t="s">
        <v>240</v>
      </c>
      <c r="D1271" s="87" t="s">
        <v>1233</v>
      </c>
      <c r="E1271" s="126" t="s">
        <v>784</v>
      </c>
      <c r="F1271" s="126"/>
      <c r="G1271" s="89" t="s">
        <v>785</v>
      </c>
      <c r="H1271" s="90">
        <v>1.2370000000000001</v>
      </c>
      <c r="I1271" s="91">
        <v>24.58</v>
      </c>
      <c r="J1271" s="91">
        <v>30.4</v>
      </c>
    </row>
    <row r="1272" spans="1:10" x14ac:dyDescent="0.2">
      <c r="A1272" s="87" t="s">
        <v>781</v>
      </c>
      <c r="B1272" s="88" t="s">
        <v>1234</v>
      </c>
      <c r="C1272" s="87" t="s">
        <v>240</v>
      </c>
      <c r="D1272" s="87" t="s">
        <v>1235</v>
      </c>
      <c r="E1272" s="126" t="s">
        <v>784</v>
      </c>
      <c r="F1272" s="126"/>
      <c r="G1272" s="89" t="s">
        <v>785</v>
      </c>
      <c r="H1272" s="90">
        <v>1.2370000000000001</v>
      </c>
      <c r="I1272" s="91">
        <v>20.190000000000001</v>
      </c>
      <c r="J1272" s="91">
        <v>24.97</v>
      </c>
    </row>
    <row r="1273" spans="1:10" ht="38.25" x14ac:dyDescent="0.2">
      <c r="A1273" s="92"/>
      <c r="B1273" s="92"/>
      <c r="C1273" s="92"/>
      <c r="D1273" s="92"/>
      <c r="E1273" s="92" t="s">
        <v>801</v>
      </c>
      <c r="F1273" s="93">
        <v>55.37</v>
      </c>
      <c r="G1273" s="92" t="s">
        <v>802</v>
      </c>
      <c r="H1273" s="93">
        <v>0</v>
      </c>
      <c r="I1273" s="92" t="s">
        <v>803</v>
      </c>
      <c r="J1273" s="93">
        <v>55.37</v>
      </c>
    </row>
    <row r="1274" spans="1:10" ht="38.25" x14ac:dyDescent="0.2">
      <c r="A1274" s="92"/>
      <c r="B1274" s="92"/>
      <c r="C1274" s="92"/>
      <c r="D1274" s="92"/>
      <c r="E1274" s="92" t="s">
        <v>804</v>
      </c>
      <c r="F1274" s="93">
        <v>108.23</v>
      </c>
      <c r="G1274" s="92"/>
      <c r="H1274" s="127" t="s">
        <v>805</v>
      </c>
      <c r="I1274" s="127"/>
      <c r="J1274" s="93">
        <v>483.8</v>
      </c>
    </row>
    <row r="1275" spans="1:10" ht="15" thickBot="1" x14ac:dyDescent="0.25">
      <c r="A1275" s="77"/>
      <c r="B1275" s="77"/>
      <c r="C1275" s="77"/>
      <c r="D1275" s="77"/>
      <c r="E1275" s="77"/>
      <c r="F1275" s="77"/>
      <c r="G1275" s="77" t="s">
        <v>806</v>
      </c>
      <c r="H1275" s="94">
        <v>7</v>
      </c>
      <c r="I1275" s="77" t="s">
        <v>807</v>
      </c>
      <c r="J1275" s="78">
        <v>3386.6</v>
      </c>
    </row>
    <row r="1276" spans="1:10" ht="15" thickTop="1" x14ac:dyDescent="0.2">
      <c r="A1276" s="95"/>
      <c r="B1276" s="95"/>
      <c r="C1276" s="95"/>
      <c r="D1276" s="95"/>
      <c r="E1276" s="95"/>
      <c r="F1276" s="95"/>
      <c r="G1276" s="95"/>
      <c r="H1276" s="95"/>
      <c r="I1276" s="95"/>
      <c r="J1276" s="95"/>
    </row>
    <row r="1277" spans="1:10" x14ac:dyDescent="0.2">
      <c r="A1277" s="18" t="s">
        <v>402</v>
      </c>
      <c r="B1277" s="18"/>
      <c r="C1277" s="18"/>
      <c r="D1277" s="18" t="s">
        <v>403</v>
      </c>
      <c r="E1277" s="18"/>
      <c r="F1277" s="122"/>
      <c r="G1277" s="122"/>
      <c r="H1277" s="39"/>
      <c r="I1277" s="18"/>
      <c r="J1277" s="80">
        <v>8794.93</v>
      </c>
    </row>
    <row r="1278" spans="1:10" ht="15" x14ac:dyDescent="0.2">
      <c r="A1278" s="75" t="s">
        <v>404</v>
      </c>
      <c r="B1278" s="17" t="s">
        <v>11</v>
      </c>
      <c r="C1278" s="75" t="s">
        <v>12</v>
      </c>
      <c r="D1278" s="75" t="s">
        <v>2</v>
      </c>
      <c r="E1278" s="124" t="s">
        <v>779</v>
      </c>
      <c r="F1278" s="124"/>
      <c r="G1278" s="76" t="s">
        <v>3</v>
      </c>
      <c r="H1278" s="17" t="s">
        <v>4</v>
      </c>
      <c r="I1278" s="17" t="s">
        <v>13</v>
      </c>
      <c r="J1278" s="17" t="s">
        <v>17</v>
      </c>
    </row>
    <row r="1279" spans="1:10" ht="25.5" x14ac:dyDescent="0.2">
      <c r="A1279" s="19" t="s">
        <v>780</v>
      </c>
      <c r="B1279" s="20" t="s">
        <v>405</v>
      </c>
      <c r="C1279" s="19" t="s">
        <v>15</v>
      </c>
      <c r="D1279" s="19" t="s">
        <v>406</v>
      </c>
      <c r="E1279" s="125">
        <v>37.130000000000003</v>
      </c>
      <c r="F1279" s="125"/>
      <c r="G1279" s="21" t="s">
        <v>32</v>
      </c>
      <c r="H1279" s="86">
        <v>1</v>
      </c>
      <c r="I1279" s="82">
        <v>140.63</v>
      </c>
      <c r="J1279" s="82">
        <v>140.63</v>
      </c>
    </row>
    <row r="1280" spans="1:10" ht="38.25" x14ac:dyDescent="0.2">
      <c r="A1280" s="87" t="s">
        <v>781</v>
      </c>
      <c r="B1280" s="88" t="s">
        <v>814</v>
      </c>
      <c r="C1280" s="87" t="s">
        <v>15</v>
      </c>
      <c r="D1280" s="87" t="s">
        <v>815</v>
      </c>
      <c r="E1280" s="126" t="s">
        <v>784</v>
      </c>
      <c r="F1280" s="126"/>
      <c r="G1280" s="89" t="s">
        <v>785</v>
      </c>
      <c r="H1280" s="90">
        <v>0.6</v>
      </c>
      <c r="I1280" s="91">
        <v>27.08</v>
      </c>
      <c r="J1280" s="91">
        <v>16.239999999999998</v>
      </c>
    </row>
    <row r="1281" spans="1:10" ht="38.25" x14ac:dyDescent="0.2">
      <c r="A1281" s="87" t="s">
        <v>781</v>
      </c>
      <c r="B1281" s="88" t="s">
        <v>812</v>
      </c>
      <c r="C1281" s="87" t="s">
        <v>15</v>
      </c>
      <c r="D1281" s="87" t="s">
        <v>813</v>
      </c>
      <c r="E1281" s="126" t="s">
        <v>784</v>
      </c>
      <c r="F1281" s="126"/>
      <c r="G1281" s="89" t="s">
        <v>785</v>
      </c>
      <c r="H1281" s="90">
        <v>0.6</v>
      </c>
      <c r="I1281" s="91">
        <v>18.57</v>
      </c>
      <c r="J1281" s="91">
        <v>11.14</v>
      </c>
    </row>
    <row r="1282" spans="1:10" ht="38.25" x14ac:dyDescent="0.2">
      <c r="A1282" s="87" t="s">
        <v>781</v>
      </c>
      <c r="B1282" s="88" t="s">
        <v>1244</v>
      </c>
      <c r="C1282" s="87" t="s">
        <v>15</v>
      </c>
      <c r="D1282" s="87" t="s">
        <v>1245</v>
      </c>
      <c r="E1282" s="126" t="s">
        <v>794</v>
      </c>
      <c r="F1282" s="126"/>
      <c r="G1282" s="89" t="s">
        <v>32</v>
      </c>
      <c r="H1282" s="90">
        <v>1</v>
      </c>
      <c r="I1282" s="91">
        <v>113.25</v>
      </c>
      <c r="J1282" s="91">
        <v>113.25</v>
      </c>
    </row>
    <row r="1283" spans="1:10" ht="38.25" x14ac:dyDescent="0.2">
      <c r="A1283" s="92"/>
      <c r="B1283" s="92"/>
      <c r="C1283" s="92"/>
      <c r="D1283" s="92"/>
      <c r="E1283" s="92" t="s">
        <v>801</v>
      </c>
      <c r="F1283" s="93">
        <v>27.38</v>
      </c>
      <c r="G1283" s="92" t="s">
        <v>802</v>
      </c>
      <c r="H1283" s="93">
        <v>0</v>
      </c>
      <c r="I1283" s="92" t="s">
        <v>803</v>
      </c>
      <c r="J1283" s="93">
        <v>27.38</v>
      </c>
    </row>
    <row r="1284" spans="1:10" ht="38.25" x14ac:dyDescent="0.2">
      <c r="A1284" s="92"/>
      <c r="B1284" s="92"/>
      <c r="C1284" s="92"/>
      <c r="D1284" s="92"/>
      <c r="E1284" s="92" t="s">
        <v>804</v>
      </c>
      <c r="F1284" s="93">
        <v>40.520000000000003</v>
      </c>
      <c r="G1284" s="92"/>
      <c r="H1284" s="127" t="s">
        <v>805</v>
      </c>
      <c r="I1284" s="127"/>
      <c r="J1284" s="93">
        <v>181.15</v>
      </c>
    </row>
    <row r="1285" spans="1:10" ht="15" thickBot="1" x14ac:dyDescent="0.25">
      <c r="A1285" s="77"/>
      <c r="B1285" s="77"/>
      <c r="C1285" s="77"/>
      <c r="D1285" s="77"/>
      <c r="E1285" s="77"/>
      <c r="F1285" s="77"/>
      <c r="G1285" s="77" t="s">
        <v>806</v>
      </c>
      <c r="H1285" s="94">
        <v>5</v>
      </c>
      <c r="I1285" s="77" t="s">
        <v>807</v>
      </c>
      <c r="J1285" s="78">
        <v>905.75</v>
      </c>
    </row>
    <row r="1286" spans="1:10" ht="15" thickTop="1" x14ac:dyDescent="0.2">
      <c r="A1286" s="95"/>
      <c r="B1286" s="95"/>
      <c r="C1286" s="95"/>
      <c r="D1286" s="95"/>
      <c r="E1286" s="95"/>
      <c r="F1286" s="95"/>
      <c r="G1286" s="95"/>
      <c r="H1286" s="95"/>
      <c r="I1286" s="95"/>
      <c r="J1286" s="95"/>
    </row>
    <row r="1287" spans="1:10" ht="15" x14ac:dyDescent="0.2">
      <c r="A1287" s="75" t="s">
        <v>407</v>
      </c>
      <c r="B1287" s="17" t="s">
        <v>11</v>
      </c>
      <c r="C1287" s="75" t="s">
        <v>12</v>
      </c>
      <c r="D1287" s="75" t="s">
        <v>2</v>
      </c>
      <c r="E1287" s="124" t="s">
        <v>779</v>
      </c>
      <c r="F1287" s="124"/>
      <c r="G1287" s="76" t="s">
        <v>3</v>
      </c>
      <c r="H1287" s="17" t="s">
        <v>4</v>
      </c>
      <c r="I1287" s="17" t="s">
        <v>13</v>
      </c>
      <c r="J1287" s="17" t="s">
        <v>17</v>
      </c>
    </row>
    <row r="1288" spans="1:10" ht="25.5" x14ac:dyDescent="0.2">
      <c r="A1288" s="19" t="s">
        <v>780</v>
      </c>
      <c r="B1288" s="20" t="s">
        <v>408</v>
      </c>
      <c r="C1288" s="19" t="s">
        <v>15</v>
      </c>
      <c r="D1288" s="19" t="s">
        <v>409</v>
      </c>
      <c r="E1288" s="125">
        <v>37.17</v>
      </c>
      <c r="F1288" s="125"/>
      <c r="G1288" s="21" t="s">
        <v>32</v>
      </c>
      <c r="H1288" s="86">
        <v>1</v>
      </c>
      <c r="I1288" s="82">
        <v>467.84</v>
      </c>
      <c r="J1288" s="82">
        <v>467.84</v>
      </c>
    </row>
    <row r="1289" spans="1:10" ht="38.25" x14ac:dyDescent="0.2">
      <c r="A1289" s="87" t="s">
        <v>781</v>
      </c>
      <c r="B1289" s="88" t="s">
        <v>814</v>
      </c>
      <c r="C1289" s="87" t="s">
        <v>15</v>
      </c>
      <c r="D1289" s="87" t="s">
        <v>815</v>
      </c>
      <c r="E1289" s="126" t="s">
        <v>784</v>
      </c>
      <c r="F1289" s="126"/>
      <c r="G1289" s="89" t="s">
        <v>785</v>
      </c>
      <c r="H1289" s="90">
        <v>0.25</v>
      </c>
      <c r="I1289" s="91">
        <v>27.08</v>
      </c>
      <c r="J1289" s="91">
        <v>6.77</v>
      </c>
    </row>
    <row r="1290" spans="1:10" ht="38.25" x14ac:dyDescent="0.2">
      <c r="A1290" s="87" t="s">
        <v>781</v>
      </c>
      <c r="B1290" s="88" t="s">
        <v>812</v>
      </c>
      <c r="C1290" s="87" t="s">
        <v>15</v>
      </c>
      <c r="D1290" s="87" t="s">
        <v>813</v>
      </c>
      <c r="E1290" s="126" t="s">
        <v>784</v>
      </c>
      <c r="F1290" s="126"/>
      <c r="G1290" s="89" t="s">
        <v>785</v>
      </c>
      <c r="H1290" s="90">
        <v>0.25</v>
      </c>
      <c r="I1290" s="91">
        <v>18.57</v>
      </c>
      <c r="J1290" s="91">
        <v>4.6399999999999997</v>
      </c>
    </row>
    <row r="1291" spans="1:10" ht="38.25" x14ac:dyDescent="0.2">
      <c r="A1291" s="87" t="s">
        <v>781</v>
      </c>
      <c r="B1291" s="88" t="s">
        <v>1246</v>
      </c>
      <c r="C1291" s="87" t="s">
        <v>15</v>
      </c>
      <c r="D1291" s="87" t="s">
        <v>1247</v>
      </c>
      <c r="E1291" s="126" t="s">
        <v>794</v>
      </c>
      <c r="F1291" s="126"/>
      <c r="G1291" s="89" t="s">
        <v>32</v>
      </c>
      <c r="H1291" s="90">
        <v>1</v>
      </c>
      <c r="I1291" s="91">
        <v>456.43</v>
      </c>
      <c r="J1291" s="91">
        <v>456.43</v>
      </c>
    </row>
    <row r="1292" spans="1:10" ht="38.25" x14ac:dyDescent="0.2">
      <c r="A1292" s="92"/>
      <c r="B1292" s="92"/>
      <c r="C1292" s="92"/>
      <c r="D1292" s="92"/>
      <c r="E1292" s="92" t="s">
        <v>801</v>
      </c>
      <c r="F1292" s="93">
        <v>11.41</v>
      </c>
      <c r="G1292" s="92" t="s">
        <v>802</v>
      </c>
      <c r="H1292" s="93">
        <v>0</v>
      </c>
      <c r="I1292" s="92" t="s">
        <v>803</v>
      </c>
      <c r="J1292" s="93">
        <v>11.41</v>
      </c>
    </row>
    <row r="1293" spans="1:10" ht="38.25" x14ac:dyDescent="0.2">
      <c r="A1293" s="92"/>
      <c r="B1293" s="92"/>
      <c r="C1293" s="92"/>
      <c r="D1293" s="92"/>
      <c r="E1293" s="92" t="s">
        <v>804</v>
      </c>
      <c r="F1293" s="93">
        <v>134.83000000000001</v>
      </c>
      <c r="G1293" s="92"/>
      <c r="H1293" s="127" t="s">
        <v>805</v>
      </c>
      <c r="I1293" s="127"/>
      <c r="J1293" s="93">
        <v>602.66999999999996</v>
      </c>
    </row>
    <row r="1294" spans="1:10" ht="15" thickBot="1" x14ac:dyDescent="0.25">
      <c r="A1294" s="77"/>
      <c r="B1294" s="77"/>
      <c r="C1294" s="77"/>
      <c r="D1294" s="77"/>
      <c r="E1294" s="77"/>
      <c r="F1294" s="77"/>
      <c r="G1294" s="77" t="s">
        <v>806</v>
      </c>
      <c r="H1294" s="94">
        <v>2</v>
      </c>
      <c r="I1294" s="77" t="s">
        <v>807</v>
      </c>
      <c r="J1294" s="78">
        <v>1205.3399999999999</v>
      </c>
    </row>
    <row r="1295" spans="1:10" ht="15" thickTop="1" x14ac:dyDescent="0.2">
      <c r="A1295" s="95"/>
      <c r="B1295" s="95"/>
      <c r="C1295" s="95"/>
      <c r="D1295" s="95"/>
      <c r="E1295" s="95"/>
      <c r="F1295" s="95"/>
      <c r="G1295" s="95"/>
      <c r="H1295" s="95"/>
      <c r="I1295" s="95"/>
      <c r="J1295" s="95"/>
    </row>
    <row r="1296" spans="1:10" ht="15" x14ac:dyDescent="0.2">
      <c r="A1296" s="75" t="s">
        <v>410</v>
      </c>
      <c r="B1296" s="17" t="s">
        <v>11</v>
      </c>
      <c r="C1296" s="75" t="s">
        <v>12</v>
      </c>
      <c r="D1296" s="75" t="s">
        <v>2</v>
      </c>
      <c r="E1296" s="124" t="s">
        <v>779</v>
      </c>
      <c r="F1296" s="124"/>
      <c r="G1296" s="76" t="s">
        <v>3</v>
      </c>
      <c r="H1296" s="17" t="s">
        <v>4</v>
      </c>
      <c r="I1296" s="17" t="s">
        <v>13</v>
      </c>
      <c r="J1296" s="17" t="s">
        <v>17</v>
      </c>
    </row>
    <row r="1297" spans="1:10" ht="25.5" x14ac:dyDescent="0.2">
      <c r="A1297" s="19" t="s">
        <v>780</v>
      </c>
      <c r="B1297" s="20" t="s">
        <v>411</v>
      </c>
      <c r="C1297" s="19" t="s">
        <v>275</v>
      </c>
      <c r="D1297" s="19" t="s">
        <v>412</v>
      </c>
      <c r="E1297" s="125" t="s">
        <v>1123</v>
      </c>
      <c r="F1297" s="125"/>
      <c r="G1297" s="21" t="s">
        <v>32</v>
      </c>
      <c r="H1297" s="86">
        <v>1</v>
      </c>
      <c r="I1297" s="82">
        <v>2415.2800000000002</v>
      </c>
      <c r="J1297" s="82">
        <v>2415.2800000000002</v>
      </c>
    </row>
    <row r="1298" spans="1:10" x14ac:dyDescent="0.2">
      <c r="A1298" s="87" t="s">
        <v>781</v>
      </c>
      <c r="B1298" s="88" t="s">
        <v>1248</v>
      </c>
      <c r="C1298" s="87" t="s">
        <v>275</v>
      </c>
      <c r="D1298" s="87" t="s">
        <v>1249</v>
      </c>
      <c r="E1298" s="126" t="s">
        <v>794</v>
      </c>
      <c r="F1298" s="126"/>
      <c r="G1298" s="89" t="s">
        <v>1126</v>
      </c>
      <c r="H1298" s="90">
        <v>1</v>
      </c>
      <c r="I1298" s="91">
        <v>2274.75</v>
      </c>
      <c r="J1298" s="91">
        <v>2274.75</v>
      </c>
    </row>
    <row r="1299" spans="1:10" x14ac:dyDescent="0.2">
      <c r="A1299" s="87" t="s">
        <v>781</v>
      </c>
      <c r="B1299" s="88" t="s">
        <v>1250</v>
      </c>
      <c r="C1299" s="87" t="s">
        <v>275</v>
      </c>
      <c r="D1299" s="87" t="s">
        <v>1251</v>
      </c>
      <c r="E1299" s="126" t="s">
        <v>784</v>
      </c>
      <c r="F1299" s="126"/>
      <c r="G1299" s="89" t="s">
        <v>785</v>
      </c>
      <c r="H1299" s="90">
        <v>0.6</v>
      </c>
      <c r="I1299" s="91">
        <v>53.038400000000003</v>
      </c>
      <c r="J1299" s="91">
        <v>31.82</v>
      </c>
    </row>
    <row r="1300" spans="1:10" x14ac:dyDescent="0.2">
      <c r="A1300" s="87" t="s">
        <v>781</v>
      </c>
      <c r="B1300" s="88" t="s">
        <v>1252</v>
      </c>
      <c r="C1300" s="87" t="s">
        <v>275</v>
      </c>
      <c r="D1300" s="87" t="s">
        <v>1253</v>
      </c>
      <c r="E1300" s="126" t="s">
        <v>784</v>
      </c>
      <c r="F1300" s="126"/>
      <c r="G1300" s="89" t="s">
        <v>785</v>
      </c>
      <c r="H1300" s="90">
        <v>2.1</v>
      </c>
      <c r="I1300" s="91">
        <v>22.229500000000002</v>
      </c>
      <c r="J1300" s="91">
        <v>46.68</v>
      </c>
    </row>
    <row r="1301" spans="1:10" x14ac:dyDescent="0.2">
      <c r="A1301" s="87" t="s">
        <v>781</v>
      </c>
      <c r="B1301" s="88" t="s">
        <v>1254</v>
      </c>
      <c r="C1301" s="87" t="s">
        <v>275</v>
      </c>
      <c r="D1301" s="87" t="s">
        <v>1255</v>
      </c>
      <c r="E1301" s="126" t="s">
        <v>784</v>
      </c>
      <c r="F1301" s="126"/>
      <c r="G1301" s="89" t="s">
        <v>785</v>
      </c>
      <c r="H1301" s="90">
        <v>2.1</v>
      </c>
      <c r="I1301" s="91">
        <v>29.54</v>
      </c>
      <c r="J1301" s="91">
        <v>62.03</v>
      </c>
    </row>
    <row r="1302" spans="1:10" ht="38.25" x14ac:dyDescent="0.2">
      <c r="A1302" s="92"/>
      <c r="B1302" s="92"/>
      <c r="C1302" s="92"/>
      <c r="D1302" s="92"/>
      <c r="E1302" s="92" t="s">
        <v>801</v>
      </c>
      <c r="F1302" s="93">
        <v>140.53</v>
      </c>
      <c r="G1302" s="92" t="s">
        <v>802</v>
      </c>
      <c r="H1302" s="93">
        <v>0</v>
      </c>
      <c r="I1302" s="92" t="s">
        <v>803</v>
      </c>
      <c r="J1302" s="93">
        <v>140.53</v>
      </c>
    </row>
    <row r="1303" spans="1:10" ht="38.25" x14ac:dyDescent="0.2">
      <c r="A1303" s="92"/>
      <c r="B1303" s="92"/>
      <c r="C1303" s="92"/>
      <c r="D1303" s="92"/>
      <c r="E1303" s="92" t="s">
        <v>804</v>
      </c>
      <c r="F1303" s="93">
        <v>696.08</v>
      </c>
      <c r="G1303" s="92"/>
      <c r="H1303" s="127" t="s">
        <v>805</v>
      </c>
      <c r="I1303" s="127"/>
      <c r="J1303" s="93">
        <v>3111.36</v>
      </c>
    </row>
    <row r="1304" spans="1:10" ht="15" thickBot="1" x14ac:dyDescent="0.25">
      <c r="A1304" s="77"/>
      <c r="B1304" s="77"/>
      <c r="C1304" s="77"/>
      <c r="D1304" s="77"/>
      <c r="E1304" s="77"/>
      <c r="F1304" s="77"/>
      <c r="G1304" s="77" t="s">
        <v>806</v>
      </c>
      <c r="H1304" s="94">
        <v>1</v>
      </c>
      <c r="I1304" s="77" t="s">
        <v>807</v>
      </c>
      <c r="J1304" s="78">
        <v>3111.36</v>
      </c>
    </row>
    <row r="1305" spans="1:10" ht="15" thickTop="1" x14ac:dyDescent="0.2">
      <c r="A1305" s="95"/>
      <c r="B1305" s="95"/>
      <c r="C1305" s="95"/>
      <c r="D1305" s="95"/>
      <c r="E1305" s="95"/>
      <c r="F1305" s="95"/>
      <c r="G1305" s="95"/>
      <c r="H1305" s="95"/>
      <c r="I1305" s="95"/>
      <c r="J1305" s="95"/>
    </row>
    <row r="1306" spans="1:10" ht="15" x14ac:dyDescent="0.2">
      <c r="A1306" s="75" t="s">
        <v>413</v>
      </c>
      <c r="B1306" s="17" t="s">
        <v>11</v>
      </c>
      <c r="C1306" s="75" t="s">
        <v>12</v>
      </c>
      <c r="D1306" s="75" t="s">
        <v>2</v>
      </c>
      <c r="E1306" s="124" t="s">
        <v>779</v>
      </c>
      <c r="F1306" s="124"/>
      <c r="G1306" s="76" t="s">
        <v>3</v>
      </c>
      <c r="H1306" s="17" t="s">
        <v>4</v>
      </c>
      <c r="I1306" s="17" t="s">
        <v>13</v>
      </c>
      <c r="J1306" s="17" t="s">
        <v>17</v>
      </c>
    </row>
    <row r="1307" spans="1:10" ht="25.5" x14ac:dyDescent="0.2">
      <c r="A1307" s="19" t="s">
        <v>780</v>
      </c>
      <c r="B1307" s="20" t="s">
        <v>414</v>
      </c>
      <c r="C1307" s="19" t="s">
        <v>275</v>
      </c>
      <c r="D1307" s="19" t="s">
        <v>415</v>
      </c>
      <c r="E1307" s="125" t="s">
        <v>1123</v>
      </c>
      <c r="F1307" s="125"/>
      <c r="G1307" s="21" t="s">
        <v>32</v>
      </c>
      <c r="H1307" s="86">
        <v>1</v>
      </c>
      <c r="I1307" s="82">
        <v>295.10000000000002</v>
      </c>
      <c r="J1307" s="82">
        <v>295.10000000000002</v>
      </c>
    </row>
    <row r="1308" spans="1:10" ht="38.25" x14ac:dyDescent="0.2">
      <c r="A1308" s="87" t="s">
        <v>781</v>
      </c>
      <c r="B1308" s="88" t="s">
        <v>1256</v>
      </c>
      <c r="C1308" s="87" t="s">
        <v>275</v>
      </c>
      <c r="D1308" s="87" t="s">
        <v>1257</v>
      </c>
      <c r="E1308" s="126" t="s">
        <v>794</v>
      </c>
      <c r="F1308" s="126"/>
      <c r="G1308" s="89" t="s">
        <v>1126</v>
      </c>
      <c r="H1308" s="90">
        <v>1</v>
      </c>
      <c r="I1308" s="91">
        <v>265.56</v>
      </c>
      <c r="J1308" s="91">
        <v>265.56</v>
      </c>
    </row>
    <row r="1309" spans="1:10" x14ac:dyDescent="0.2">
      <c r="A1309" s="87" t="s">
        <v>781</v>
      </c>
      <c r="B1309" s="88" t="s">
        <v>1254</v>
      </c>
      <c r="C1309" s="87" t="s">
        <v>275</v>
      </c>
      <c r="D1309" s="87" t="s">
        <v>1255</v>
      </c>
      <c r="E1309" s="126" t="s">
        <v>784</v>
      </c>
      <c r="F1309" s="126"/>
      <c r="G1309" s="89" t="s">
        <v>785</v>
      </c>
      <c r="H1309" s="90">
        <v>1</v>
      </c>
      <c r="I1309" s="91">
        <v>29.54</v>
      </c>
      <c r="J1309" s="91">
        <v>29.54</v>
      </c>
    </row>
    <row r="1310" spans="1:10" ht="38.25" x14ac:dyDescent="0.2">
      <c r="A1310" s="92"/>
      <c r="B1310" s="92"/>
      <c r="C1310" s="92"/>
      <c r="D1310" s="92"/>
      <c r="E1310" s="92" t="s">
        <v>801</v>
      </c>
      <c r="F1310" s="93">
        <v>29.54</v>
      </c>
      <c r="G1310" s="92" t="s">
        <v>802</v>
      </c>
      <c r="H1310" s="93">
        <v>0</v>
      </c>
      <c r="I1310" s="92" t="s">
        <v>803</v>
      </c>
      <c r="J1310" s="93">
        <v>29.54</v>
      </c>
    </row>
    <row r="1311" spans="1:10" ht="38.25" x14ac:dyDescent="0.2">
      <c r="A1311" s="92"/>
      <c r="B1311" s="92"/>
      <c r="C1311" s="92"/>
      <c r="D1311" s="92"/>
      <c r="E1311" s="92" t="s">
        <v>804</v>
      </c>
      <c r="F1311" s="93">
        <v>85.04</v>
      </c>
      <c r="G1311" s="92"/>
      <c r="H1311" s="127" t="s">
        <v>805</v>
      </c>
      <c r="I1311" s="127"/>
      <c r="J1311" s="93">
        <v>380.14</v>
      </c>
    </row>
    <row r="1312" spans="1:10" ht="15" thickBot="1" x14ac:dyDescent="0.25">
      <c r="A1312" s="77"/>
      <c r="B1312" s="77"/>
      <c r="C1312" s="77"/>
      <c r="D1312" s="77"/>
      <c r="E1312" s="77"/>
      <c r="F1312" s="77"/>
      <c r="G1312" s="77" t="s">
        <v>806</v>
      </c>
      <c r="H1312" s="94">
        <v>2</v>
      </c>
      <c r="I1312" s="77" t="s">
        <v>807</v>
      </c>
      <c r="J1312" s="78">
        <v>760.28</v>
      </c>
    </row>
    <row r="1313" spans="1:10" ht="15" thickTop="1" x14ac:dyDescent="0.2">
      <c r="A1313" s="95"/>
      <c r="B1313" s="95"/>
      <c r="C1313" s="95"/>
      <c r="D1313" s="95"/>
      <c r="E1313" s="95"/>
      <c r="F1313" s="95"/>
      <c r="G1313" s="95"/>
      <c r="H1313" s="95"/>
      <c r="I1313" s="95"/>
      <c r="J1313" s="95"/>
    </row>
    <row r="1314" spans="1:10" ht="15" x14ac:dyDescent="0.2">
      <c r="A1314" s="75" t="s">
        <v>416</v>
      </c>
      <c r="B1314" s="17" t="s">
        <v>11</v>
      </c>
      <c r="C1314" s="75" t="s">
        <v>12</v>
      </c>
      <c r="D1314" s="75" t="s">
        <v>2</v>
      </c>
      <c r="E1314" s="124" t="s">
        <v>779</v>
      </c>
      <c r="F1314" s="124"/>
      <c r="G1314" s="76" t="s">
        <v>3</v>
      </c>
      <c r="H1314" s="17" t="s">
        <v>4</v>
      </c>
      <c r="I1314" s="17" t="s">
        <v>13</v>
      </c>
      <c r="J1314" s="17" t="s">
        <v>17</v>
      </c>
    </row>
    <row r="1315" spans="1:10" ht="25.5" x14ac:dyDescent="0.2">
      <c r="A1315" s="19" t="s">
        <v>780</v>
      </c>
      <c r="B1315" s="20" t="s">
        <v>417</v>
      </c>
      <c r="C1315" s="19" t="s">
        <v>275</v>
      </c>
      <c r="D1315" s="19" t="s">
        <v>418</v>
      </c>
      <c r="E1315" s="125" t="s">
        <v>1123</v>
      </c>
      <c r="F1315" s="125"/>
      <c r="G1315" s="21" t="s">
        <v>32</v>
      </c>
      <c r="H1315" s="86">
        <v>1</v>
      </c>
      <c r="I1315" s="82">
        <v>43.51</v>
      </c>
      <c r="J1315" s="82">
        <v>43.51</v>
      </c>
    </row>
    <row r="1316" spans="1:10" x14ac:dyDescent="0.2">
      <c r="A1316" s="87" t="s">
        <v>781</v>
      </c>
      <c r="B1316" s="88" t="s">
        <v>1258</v>
      </c>
      <c r="C1316" s="87" t="s">
        <v>275</v>
      </c>
      <c r="D1316" s="87" t="s">
        <v>1259</v>
      </c>
      <c r="E1316" s="126" t="s">
        <v>794</v>
      </c>
      <c r="F1316" s="126"/>
      <c r="G1316" s="89" t="s">
        <v>1126</v>
      </c>
      <c r="H1316" s="90">
        <v>1</v>
      </c>
      <c r="I1316" s="91">
        <v>22.81</v>
      </c>
      <c r="J1316" s="91">
        <v>22.81</v>
      </c>
    </row>
    <row r="1317" spans="1:10" x14ac:dyDescent="0.2">
      <c r="A1317" s="87" t="s">
        <v>781</v>
      </c>
      <c r="B1317" s="88" t="s">
        <v>1254</v>
      </c>
      <c r="C1317" s="87" t="s">
        <v>275</v>
      </c>
      <c r="D1317" s="87" t="s">
        <v>1255</v>
      </c>
      <c r="E1317" s="126" t="s">
        <v>784</v>
      </c>
      <c r="F1317" s="126"/>
      <c r="G1317" s="89" t="s">
        <v>785</v>
      </c>
      <c r="H1317" s="90">
        <v>0.4</v>
      </c>
      <c r="I1317" s="91">
        <v>29.54</v>
      </c>
      <c r="J1317" s="91">
        <v>11.81</v>
      </c>
    </row>
    <row r="1318" spans="1:10" x14ac:dyDescent="0.2">
      <c r="A1318" s="87" t="s">
        <v>781</v>
      </c>
      <c r="B1318" s="88" t="s">
        <v>1252</v>
      </c>
      <c r="C1318" s="87" t="s">
        <v>275</v>
      </c>
      <c r="D1318" s="87" t="s">
        <v>1253</v>
      </c>
      <c r="E1318" s="126" t="s">
        <v>784</v>
      </c>
      <c r="F1318" s="126"/>
      <c r="G1318" s="89" t="s">
        <v>785</v>
      </c>
      <c r="H1318" s="90">
        <v>0.4</v>
      </c>
      <c r="I1318" s="91">
        <v>22.229500000000002</v>
      </c>
      <c r="J1318" s="91">
        <v>8.89</v>
      </c>
    </row>
    <row r="1319" spans="1:10" ht="38.25" x14ac:dyDescent="0.2">
      <c r="A1319" s="92"/>
      <c r="B1319" s="92"/>
      <c r="C1319" s="92"/>
      <c r="D1319" s="92"/>
      <c r="E1319" s="92" t="s">
        <v>801</v>
      </c>
      <c r="F1319" s="93">
        <v>20.7</v>
      </c>
      <c r="G1319" s="92" t="s">
        <v>802</v>
      </c>
      <c r="H1319" s="93">
        <v>0</v>
      </c>
      <c r="I1319" s="92" t="s">
        <v>803</v>
      </c>
      <c r="J1319" s="93">
        <v>20.7</v>
      </c>
    </row>
    <row r="1320" spans="1:10" ht="38.25" x14ac:dyDescent="0.2">
      <c r="A1320" s="92"/>
      <c r="B1320" s="92"/>
      <c r="C1320" s="92"/>
      <c r="D1320" s="92"/>
      <c r="E1320" s="92" t="s">
        <v>804</v>
      </c>
      <c r="F1320" s="93">
        <v>12.53</v>
      </c>
      <c r="G1320" s="92"/>
      <c r="H1320" s="127" t="s">
        <v>805</v>
      </c>
      <c r="I1320" s="127"/>
      <c r="J1320" s="93">
        <v>56.04</v>
      </c>
    </row>
    <row r="1321" spans="1:10" ht="15" thickBot="1" x14ac:dyDescent="0.25">
      <c r="A1321" s="77"/>
      <c r="B1321" s="77"/>
      <c r="C1321" s="77"/>
      <c r="D1321" s="77"/>
      <c r="E1321" s="77"/>
      <c r="F1321" s="77"/>
      <c r="G1321" s="77" t="s">
        <v>806</v>
      </c>
      <c r="H1321" s="94">
        <v>25</v>
      </c>
      <c r="I1321" s="77" t="s">
        <v>807</v>
      </c>
      <c r="J1321" s="78">
        <v>1401</v>
      </c>
    </row>
    <row r="1322" spans="1:10" ht="15" thickTop="1" x14ac:dyDescent="0.2">
      <c r="A1322" s="95"/>
      <c r="B1322" s="95"/>
      <c r="C1322" s="95"/>
      <c r="D1322" s="95"/>
      <c r="E1322" s="95"/>
      <c r="F1322" s="95"/>
      <c r="G1322" s="95"/>
      <c r="H1322" s="95"/>
      <c r="I1322" s="95"/>
      <c r="J1322" s="95"/>
    </row>
    <row r="1323" spans="1:10" ht="15" x14ac:dyDescent="0.2">
      <c r="A1323" s="75" t="s">
        <v>419</v>
      </c>
      <c r="B1323" s="17" t="s">
        <v>11</v>
      </c>
      <c r="C1323" s="75" t="s">
        <v>12</v>
      </c>
      <c r="D1323" s="75" t="s">
        <v>2</v>
      </c>
      <c r="E1323" s="124" t="s">
        <v>779</v>
      </c>
      <c r="F1323" s="124"/>
      <c r="G1323" s="76" t="s">
        <v>3</v>
      </c>
      <c r="H1323" s="17" t="s">
        <v>4</v>
      </c>
      <c r="I1323" s="17" t="s">
        <v>13</v>
      </c>
      <c r="J1323" s="17" t="s">
        <v>17</v>
      </c>
    </row>
    <row r="1324" spans="1:10" ht="25.5" x14ac:dyDescent="0.2">
      <c r="A1324" s="19" t="s">
        <v>780</v>
      </c>
      <c r="B1324" s="20" t="s">
        <v>420</v>
      </c>
      <c r="C1324" s="19" t="s">
        <v>275</v>
      </c>
      <c r="D1324" s="19" t="s">
        <v>421</v>
      </c>
      <c r="E1324" s="125" t="s">
        <v>1123</v>
      </c>
      <c r="F1324" s="125"/>
      <c r="G1324" s="21" t="s">
        <v>32</v>
      </c>
      <c r="H1324" s="86">
        <v>1</v>
      </c>
      <c r="I1324" s="82">
        <v>36.520000000000003</v>
      </c>
      <c r="J1324" s="82">
        <v>36.520000000000003</v>
      </c>
    </row>
    <row r="1325" spans="1:10" x14ac:dyDescent="0.2">
      <c r="A1325" s="87" t="s">
        <v>781</v>
      </c>
      <c r="B1325" s="88" t="s">
        <v>1260</v>
      </c>
      <c r="C1325" s="87" t="s">
        <v>275</v>
      </c>
      <c r="D1325" s="87" t="s">
        <v>1261</v>
      </c>
      <c r="E1325" s="126" t="s">
        <v>794</v>
      </c>
      <c r="F1325" s="126"/>
      <c r="G1325" s="89" t="s">
        <v>1126</v>
      </c>
      <c r="H1325" s="90">
        <v>1</v>
      </c>
      <c r="I1325" s="91">
        <v>15.82</v>
      </c>
      <c r="J1325" s="91">
        <v>15.82</v>
      </c>
    </row>
    <row r="1326" spans="1:10" x14ac:dyDescent="0.2">
      <c r="A1326" s="87" t="s">
        <v>781</v>
      </c>
      <c r="B1326" s="88" t="s">
        <v>1252</v>
      </c>
      <c r="C1326" s="87" t="s">
        <v>275</v>
      </c>
      <c r="D1326" s="87" t="s">
        <v>1253</v>
      </c>
      <c r="E1326" s="126" t="s">
        <v>784</v>
      </c>
      <c r="F1326" s="126"/>
      <c r="G1326" s="89" t="s">
        <v>785</v>
      </c>
      <c r="H1326" s="90">
        <v>0.4</v>
      </c>
      <c r="I1326" s="91">
        <v>22.229500000000002</v>
      </c>
      <c r="J1326" s="91">
        <v>8.89</v>
      </c>
    </row>
    <row r="1327" spans="1:10" x14ac:dyDescent="0.2">
      <c r="A1327" s="87" t="s">
        <v>781</v>
      </c>
      <c r="B1327" s="88" t="s">
        <v>1254</v>
      </c>
      <c r="C1327" s="87" t="s">
        <v>275</v>
      </c>
      <c r="D1327" s="87" t="s">
        <v>1255</v>
      </c>
      <c r="E1327" s="126" t="s">
        <v>784</v>
      </c>
      <c r="F1327" s="126"/>
      <c r="G1327" s="89" t="s">
        <v>785</v>
      </c>
      <c r="H1327" s="90">
        <v>0.4</v>
      </c>
      <c r="I1327" s="91">
        <v>29.54</v>
      </c>
      <c r="J1327" s="91">
        <v>11.81</v>
      </c>
    </row>
    <row r="1328" spans="1:10" ht="38.25" x14ac:dyDescent="0.2">
      <c r="A1328" s="92"/>
      <c r="B1328" s="92"/>
      <c r="C1328" s="92"/>
      <c r="D1328" s="92"/>
      <c r="E1328" s="92" t="s">
        <v>801</v>
      </c>
      <c r="F1328" s="93">
        <v>20.7</v>
      </c>
      <c r="G1328" s="92" t="s">
        <v>802</v>
      </c>
      <c r="H1328" s="93">
        <v>0</v>
      </c>
      <c r="I1328" s="92" t="s">
        <v>803</v>
      </c>
      <c r="J1328" s="93">
        <v>20.7</v>
      </c>
    </row>
    <row r="1329" spans="1:10" ht="38.25" x14ac:dyDescent="0.2">
      <c r="A1329" s="92"/>
      <c r="B1329" s="92"/>
      <c r="C1329" s="92"/>
      <c r="D1329" s="92"/>
      <c r="E1329" s="92" t="s">
        <v>804</v>
      </c>
      <c r="F1329" s="93">
        <v>10.52</v>
      </c>
      <c r="G1329" s="92"/>
      <c r="H1329" s="127" t="s">
        <v>805</v>
      </c>
      <c r="I1329" s="127"/>
      <c r="J1329" s="93">
        <v>47.04</v>
      </c>
    </row>
    <row r="1330" spans="1:10" ht="15" thickBot="1" x14ac:dyDescent="0.25">
      <c r="A1330" s="77"/>
      <c r="B1330" s="77"/>
      <c r="C1330" s="77"/>
      <c r="D1330" s="77"/>
      <c r="E1330" s="77"/>
      <c r="F1330" s="77"/>
      <c r="G1330" s="77" t="s">
        <v>806</v>
      </c>
      <c r="H1330" s="94">
        <v>30</v>
      </c>
      <c r="I1330" s="77" t="s">
        <v>807</v>
      </c>
      <c r="J1330" s="78">
        <v>1411.2</v>
      </c>
    </row>
    <row r="1331" spans="1:10" ht="15" thickTop="1" x14ac:dyDescent="0.2">
      <c r="A1331" s="95"/>
      <c r="B1331" s="95"/>
      <c r="C1331" s="95"/>
      <c r="D1331" s="95"/>
      <c r="E1331" s="95"/>
      <c r="F1331" s="95"/>
      <c r="G1331" s="95"/>
      <c r="H1331" s="95"/>
      <c r="I1331" s="95"/>
      <c r="J1331" s="95"/>
    </row>
    <row r="1332" spans="1:10" x14ac:dyDescent="0.2">
      <c r="A1332" s="18" t="s">
        <v>422</v>
      </c>
      <c r="B1332" s="18"/>
      <c r="C1332" s="18"/>
      <c r="D1332" s="18" t="s">
        <v>423</v>
      </c>
      <c r="E1332" s="18"/>
      <c r="F1332" s="122"/>
      <c r="G1332" s="122"/>
      <c r="H1332" s="39"/>
      <c r="I1332" s="18"/>
      <c r="J1332" s="80">
        <v>8331.67</v>
      </c>
    </row>
    <row r="1333" spans="1:10" ht="15" x14ac:dyDescent="0.2">
      <c r="A1333" s="75" t="s">
        <v>424</v>
      </c>
      <c r="B1333" s="17" t="s">
        <v>11</v>
      </c>
      <c r="C1333" s="75" t="s">
        <v>12</v>
      </c>
      <c r="D1333" s="75" t="s">
        <v>2</v>
      </c>
      <c r="E1333" s="124" t="s">
        <v>779</v>
      </c>
      <c r="F1333" s="124"/>
      <c r="G1333" s="76" t="s">
        <v>3</v>
      </c>
      <c r="H1333" s="17" t="s">
        <v>4</v>
      </c>
      <c r="I1333" s="17" t="s">
        <v>13</v>
      </c>
      <c r="J1333" s="17" t="s">
        <v>17</v>
      </c>
    </row>
    <row r="1334" spans="1:10" ht="25.5" x14ac:dyDescent="0.2">
      <c r="A1334" s="19" t="s">
        <v>780</v>
      </c>
      <c r="B1334" s="20" t="s">
        <v>425</v>
      </c>
      <c r="C1334" s="19" t="s">
        <v>15</v>
      </c>
      <c r="D1334" s="19" t="s">
        <v>426</v>
      </c>
      <c r="E1334" s="125">
        <v>42.05</v>
      </c>
      <c r="F1334" s="125"/>
      <c r="G1334" s="21" t="s">
        <v>78</v>
      </c>
      <c r="H1334" s="86">
        <v>1</v>
      </c>
      <c r="I1334" s="82">
        <v>31.18</v>
      </c>
      <c r="J1334" s="82">
        <v>31.18</v>
      </c>
    </row>
    <row r="1335" spans="1:10" ht="38.25" x14ac:dyDescent="0.2">
      <c r="A1335" s="87" t="s">
        <v>781</v>
      </c>
      <c r="B1335" s="88" t="s">
        <v>814</v>
      </c>
      <c r="C1335" s="87" t="s">
        <v>15</v>
      </c>
      <c r="D1335" s="87" t="s">
        <v>815</v>
      </c>
      <c r="E1335" s="126" t="s">
        <v>784</v>
      </c>
      <c r="F1335" s="126"/>
      <c r="G1335" s="89" t="s">
        <v>785</v>
      </c>
      <c r="H1335" s="90">
        <v>0.5</v>
      </c>
      <c r="I1335" s="91">
        <v>27.08</v>
      </c>
      <c r="J1335" s="91">
        <v>13.54</v>
      </c>
    </row>
    <row r="1336" spans="1:10" ht="38.25" x14ac:dyDescent="0.2">
      <c r="A1336" s="87" t="s">
        <v>781</v>
      </c>
      <c r="B1336" s="88" t="s">
        <v>812</v>
      </c>
      <c r="C1336" s="87" t="s">
        <v>15</v>
      </c>
      <c r="D1336" s="87" t="s">
        <v>813</v>
      </c>
      <c r="E1336" s="126" t="s">
        <v>784</v>
      </c>
      <c r="F1336" s="126"/>
      <c r="G1336" s="89" t="s">
        <v>785</v>
      </c>
      <c r="H1336" s="90">
        <v>0.5</v>
      </c>
      <c r="I1336" s="91">
        <v>18.57</v>
      </c>
      <c r="J1336" s="91">
        <v>9.2799999999999994</v>
      </c>
    </row>
    <row r="1337" spans="1:10" ht="38.25" x14ac:dyDescent="0.2">
      <c r="A1337" s="87" t="s">
        <v>781</v>
      </c>
      <c r="B1337" s="88" t="s">
        <v>1262</v>
      </c>
      <c r="C1337" s="87" t="s">
        <v>15</v>
      </c>
      <c r="D1337" s="87" t="s">
        <v>1263</v>
      </c>
      <c r="E1337" s="126" t="s">
        <v>794</v>
      </c>
      <c r="F1337" s="126"/>
      <c r="G1337" s="89" t="s">
        <v>78</v>
      </c>
      <c r="H1337" s="90">
        <v>1.0375000000000001</v>
      </c>
      <c r="I1337" s="91">
        <v>8.06</v>
      </c>
      <c r="J1337" s="91">
        <v>8.36</v>
      </c>
    </row>
    <row r="1338" spans="1:10" ht="38.25" x14ac:dyDescent="0.2">
      <c r="A1338" s="92"/>
      <c r="B1338" s="92"/>
      <c r="C1338" s="92"/>
      <c r="D1338" s="92"/>
      <c r="E1338" s="92" t="s">
        <v>801</v>
      </c>
      <c r="F1338" s="93">
        <v>22.82</v>
      </c>
      <c r="G1338" s="92" t="s">
        <v>802</v>
      </c>
      <c r="H1338" s="93">
        <v>0</v>
      </c>
      <c r="I1338" s="92" t="s">
        <v>803</v>
      </c>
      <c r="J1338" s="93">
        <v>22.82</v>
      </c>
    </row>
    <row r="1339" spans="1:10" ht="38.25" x14ac:dyDescent="0.2">
      <c r="A1339" s="92"/>
      <c r="B1339" s="92"/>
      <c r="C1339" s="92"/>
      <c r="D1339" s="92"/>
      <c r="E1339" s="92" t="s">
        <v>804</v>
      </c>
      <c r="F1339" s="93">
        <v>8.98</v>
      </c>
      <c r="G1339" s="92"/>
      <c r="H1339" s="127" t="s">
        <v>805</v>
      </c>
      <c r="I1339" s="127"/>
      <c r="J1339" s="93">
        <v>40.159999999999997</v>
      </c>
    </row>
    <row r="1340" spans="1:10" ht="15" thickBot="1" x14ac:dyDescent="0.25">
      <c r="A1340" s="77"/>
      <c r="B1340" s="77"/>
      <c r="C1340" s="77"/>
      <c r="D1340" s="77"/>
      <c r="E1340" s="77"/>
      <c r="F1340" s="77"/>
      <c r="G1340" s="77" t="s">
        <v>806</v>
      </c>
      <c r="H1340" s="94">
        <v>45</v>
      </c>
      <c r="I1340" s="77" t="s">
        <v>807</v>
      </c>
      <c r="J1340" s="78">
        <v>1807.2</v>
      </c>
    </row>
    <row r="1341" spans="1:10" ht="15" thickTop="1" x14ac:dyDescent="0.2">
      <c r="A1341" s="95"/>
      <c r="B1341" s="95"/>
      <c r="C1341" s="95"/>
      <c r="D1341" s="95"/>
      <c r="E1341" s="95"/>
      <c r="F1341" s="95"/>
      <c r="G1341" s="95"/>
      <c r="H1341" s="95"/>
      <c r="I1341" s="95"/>
      <c r="J1341" s="95"/>
    </row>
    <row r="1342" spans="1:10" ht="15" x14ac:dyDescent="0.2">
      <c r="A1342" s="75" t="s">
        <v>427</v>
      </c>
      <c r="B1342" s="17" t="s">
        <v>11</v>
      </c>
      <c r="C1342" s="75" t="s">
        <v>12</v>
      </c>
      <c r="D1342" s="75" t="s">
        <v>2</v>
      </c>
      <c r="E1342" s="124" t="s">
        <v>779</v>
      </c>
      <c r="F1342" s="124"/>
      <c r="G1342" s="76" t="s">
        <v>3</v>
      </c>
      <c r="H1342" s="17" t="s">
        <v>4</v>
      </c>
      <c r="I1342" s="17" t="s">
        <v>13</v>
      </c>
      <c r="J1342" s="17" t="s">
        <v>17</v>
      </c>
    </row>
    <row r="1343" spans="1:10" ht="25.5" x14ac:dyDescent="0.2">
      <c r="A1343" s="19" t="s">
        <v>780</v>
      </c>
      <c r="B1343" s="20" t="s">
        <v>428</v>
      </c>
      <c r="C1343" s="19" t="s">
        <v>15</v>
      </c>
      <c r="D1343" s="19" t="s">
        <v>429</v>
      </c>
      <c r="E1343" s="125">
        <v>42.01</v>
      </c>
      <c r="F1343" s="125"/>
      <c r="G1343" s="21" t="s">
        <v>32</v>
      </c>
      <c r="H1343" s="86">
        <v>1</v>
      </c>
      <c r="I1343" s="82">
        <v>40.33</v>
      </c>
      <c r="J1343" s="82">
        <v>40.33</v>
      </c>
    </row>
    <row r="1344" spans="1:10" ht="38.25" x14ac:dyDescent="0.2">
      <c r="A1344" s="87" t="s">
        <v>781</v>
      </c>
      <c r="B1344" s="88" t="s">
        <v>814</v>
      </c>
      <c r="C1344" s="87" t="s">
        <v>15</v>
      </c>
      <c r="D1344" s="87" t="s">
        <v>815</v>
      </c>
      <c r="E1344" s="126" t="s">
        <v>784</v>
      </c>
      <c r="F1344" s="126"/>
      <c r="G1344" s="89" t="s">
        <v>785</v>
      </c>
      <c r="H1344" s="90">
        <v>0.25</v>
      </c>
      <c r="I1344" s="91">
        <v>27.08</v>
      </c>
      <c r="J1344" s="91">
        <v>6.77</v>
      </c>
    </row>
    <row r="1345" spans="1:10" ht="38.25" x14ac:dyDescent="0.2">
      <c r="A1345" s="87" t="s">
        <v>781</v>
      </c>
      <c r="B1345" s="88" t="s">
        <v>812</v>
      </c>
      <c r="C1345" s="87" t="s">
        <v>15</v>
      </c>
      <c r="D1345" s="87" t="s">
        <v>813</v>
      </c>
      <c r="E1345" s="126" t="s">
        <v>784</v>
      </c>
      <c r="F1345" s="126"/>
      <c r="G1345" s="89" t="s">
        <v>785</v>
      </c>
      <c r="H1345" s="90">
        <v>0.25</v>
      </c>
      <c r="I1345" s="91">
        <v>18.57</v>
      </c>
      <c r="J1345" s="91">
        <v>4.6399999999999997</v>
      </c>
    </row>
    <row r="1346" spans="1:10" ht="38.25" x14ac:dyDescent="0.2">
      <c r="A1346" s="87" t="s">
        <v>781</v>
      </c>
      <c r="B1346" s="88" t="s">
        <v>1264</v>
      </c>
      <c r="C1346" s="87" t="s">
        <v>15</v>
      </c>
      <c r="D1346" s="87" t="s">
        <v>1265</v>
      </c>
      <c r="E1346" s="126" t="s">
        <v>794</v>
      </c>
      <c r="F1346" s="126"/>
      <c r="G1346" s="89" t="s">
        <v>32</v>
      </c>
      <c r="H1346" s="90">
        <v>1</v>
      </c>
      <c r="I1346" s="91">
        <v>28.92</v>
      </c>
      <c r="J1346" s="91">
        <v>28.92</v>
      </c>
    </row>
    <row r="1347" spans="1:10" ht="38.25" x14ac:dyDescent="0.2">
      <c r="A1347" s="92"/>
      <c r="B1347" s="92"/>
      <c r="C1347" s="92"/>
      <c r="D1347" s="92"/>
      <c r="E1347" s="92" t="s">
        <v>801</v>
      </c>
      <c r="F1347" s="93">
        <v>11.41</v>
      </c>
      <c r="G1347" s="92" t="s">
        <v>802</v>
      </c>
      <c r="H1347" s="93">
        <v>0</v>
      </c>
      <c r="I1347" s="92" t="s">
        <v>803</v>
      </c>
      <c r="J1347" s="93">
        <v>11.41</v>
      </c>
    </row>
    <row r="1348" spans="1:10" ht="38.25" x14ac:dyDescent="0.2">
      <c r="A1348" s="92"/>
      <c r="B1348" s="92"/>
      <c r="C1348" s="92"/>
      <c r="D1348" s="92"/>
      <c r="E1348" s="92" t="s">
        <v>804</v>
      </c>
      <c r="F1348" s="93">
        <v>11.62</v>
      </c>
      <c r="G1348" s="92"/>
      <c r="H1348" s="127" t="s">
        <v>805</v>
      </c>
      <c r="I1348" s="127"/>
      <c r="J1348" s="93">
        <v>51.95</v>
      </c>
    </row>
    <row r="1349" spans="1:10" ht="15" thickBot="1" x14ac:dyDescent="0.25">
      <c r="A1349" s="77"/>
      <c r="B1349" s="77"/>
      <c r="C1349" s="77"/>
      <c r="D1349" s="77"/>
      <c r="E1349" s="77"/>
      <c r="F1349" s="77"/>
      <c r="G1349" s="77" t="s">
        <v>806</v>
      </c>
      <c r="H1349" s="94">
        <v>6</v>
      </c>
      <c r="I1349" s="77" t="s">
        <v>807</v>
      </c>
      <c r="J1349" s="78">
        <v>311.7</v>
      </c>
    </row>
    <row r="1350" spans="1:10" ht="15" thickTop="1" x14ac:dyDescent="0.2">
      <c r="A1350" s="95"/>
      <c r="B1350" s="95"/>
      <c r="C1350" s="95"/>
      <c r="D1350" s="95"/>
      <c r="E1350" s="95"/>
      <c r="F1350" s="95"/>
      <c r="G1350" s="95"/>
      <c r="H1350" s="95"/>
      <c r="I1350" s="95"/>
      <c r="J1350" s="95"/>
    </row>
    <row r="1351" spans="1:10" ht="15" x14ac:dyDescent="0.2">
      <c r="A1351" s="75" t="s">
        <v>430</v>
      </c>
      <c r="B1351" s="17" t="s">
        <v>11</v>
      </c>
      <c r="C1351" s="75" t="s">
        <v>12</v>
      </c>
      <c r="D1351" s="75" t="s">
        <v>2</v>
      </c>
      <c r="E1351" s="124" t="s">
        <v>779</v>
      </c>
      <c r="F1351" s="124"/>
      <c r="G1351" s="76" t="s">
        <v>3</v>
      </c>
      <c r="H1351" s="17" t="s">
        <v>4</v>
      </c>
      <c r="I1351" s="17" t="s">
        <v>13</v>
      </c>
      <c r="J1351" s="17" t="s">
        <v>17</v>
      </c>
    </row>
    <row r="1352" spans="1:10" ht="25.5" x14ac:dyDescent="0.2">
      <c r="A1352" s="19" t="s">
        <v>780</v>
      </c>
      <c r="B1352" s="20" t="s">
        <v>431</v>
      </c>
      <c r="C1352" s="19" t="s">
        <v>15</v>
      </c>
      <c r="D1352" s="19" t="s">
        <v>432</v>
      </c>
      <c r="E1352" s="125">
        <v>39.090000000000003</v>
      </c>
      <c r="F1352" s="125"/>
      <c r="G1352" s="21" t="s">
        <v>32</v>
      </c>
      <c r="H1352" s="86">
        <v>1</v>
      </c>
      <c r="I1352" s="82">
        <v>20.9</v>
      </c>
      <c r="J1352" s="82">
        <v>20.9</v>
      </c>
    </row>
    <row r="1353" spans="1:10" ht="38.25" x14ac:dyDescent="0.2">
      <c r="A1353" s="87" t="s">
        <v>781</v>
      </c>
      <c r="B1353" s="88" t="s">
        <v>812</v>
      </c>
      <c r="C1353" s="87" t="s">
        <v>15</v>
      </c>
      <c r="D1353" s="87" t="s">
        <v>813</v>
      </c>
      <c r="E1353" s="126" t="s">
        <v>784</v>
      </c>
      <c r="F1353" s="126"/>
      <c r="G1353" s="89" t="s">
        <v>785</v>
      </c>
      <c r="H1353" s="90">
        <v>0.1</v>
      </c>
      <c r="I1353" s="91">
        <v>18.57</v>
      </c>
      <c r="J1353" s="91">
        <v>1.85</v>
      </c>
    </row>
    <row r="1354" spans="1:10" ht="38.25" x14ac:dyDescent="0.2">
      <c r="A1354" s="87" t="s">
        <v>781</v>
      </c>
      <c r="B1354" s="88" t="s">
        <v>814</v>
      </c>
      <c r="C1354" s="87" t="s">
        <v>15</v>
      </c>
      <c r="D1354" s="87" t="s">
        <v>815</v>
      </c>
      <c r="E1354" s="126" t="s">
        <v>784</v>
      </c>
      <c r="F1354" s="126"/>
      <c r="G1354" s="89" t="s">
        <v>785</v>
      </c>
      <c r="H1354" s="90">
        <v>0.1</v>
      </c>
      <c r="I1354" s="91">
        <v>27.08</v>
      </c>
      <c r="J1354" s="91">
        <v>2.7</v>
      </c>
    </row>
    <row r="1355" spans="1:10" ht="38.25" x14ac:dyDescent="0.2">
      <c r="A1355" s="87" t="s">
        <v>781</v>
      </c>
      <c r="B1355" s="88" t="s">
        <v>1266</v>
      </c>
      <c r="C1355" s="87" t="s">
        <v>15</v>
      </c>
      <c r="D1355" s="87" t="s">
        <v>1267</v>
      </c>
      <c r="E1355" s="126" t="s">
        <v>794</v>
      </c>
      <c r="F1355" s="126"/>
      <c r="G1355" s="89" t="s">
        <v>32</v>
      </c>
      <c r="H1355" s="90">
        <v>1</v>
      </c>
      <c r="I1355" s="91">
        <v>16.350000000000001</v>
      </c>
      <c r="J1355" s="91">
        <v>16.350000000000001</v>
      </c>
    </row>
    <row r="1356" spans="1:10" ht="38.25" x14ac:dyDescent="0.2">
      <c r="A1356" s="92"/>
      <c r="B1356" s="92"/>
      <c r="C1356" s="92"/>
      <c r="D1356" s="92"/>
      <c r="E1356" s="92" t="s">
        <v>801</v>
      </c>
      <c r="F1356" s="93">
        <v>4.55</v>
      </c>
      <c r="G1356" s="92" t="s">
        <v>802</v>
      </c>
      <c r="H1356" s="93">
        <v>0</v>
      </c>
      <c r="I1356" s="92" t="s">
        <v>803</v>
      </c>
      <c r="J1356" s="93">
        <v>4.55</v>
      </c>
    </row>
    <row r="1357" spans="1:10" ht="38.25" x14ac:dyDescent="0.2">
      <c r="A1357" s="92"/>
      <c r="B1357" s="92"/>
      <c r="C1357" s="92"/>
      <c r="D1357" s="92"/>
      <c r="E1357" s="92" t="s">
        <v>804</v>
      </c>
      <c r="F1357" s="93">
        <v>6.02</v>
      </c>
      <c r="G1357" s="92"/>
      <c r="H1357" s="127" t="s">
        <v>805</v>
      </c>
      <c r="I1357" s="127"/>
      <c r="J1357" s="93">
        <v>26.92</v>
      </c>
    </row>
    <row r="1358" spans="1:10" ht="15" thickBot="1" x14ac:dyDescent="0.25">
      <c r="A1358" s="77"/>
      <c r="B1358" s="77"/>
      <c r="C1358" s="77"/>
      <c r="D1358" s="77"/>
      <c r="E1358" s="77"/>
      <c r="F1358" s="77"/>
      <c r="G1358" s="77" t="s">
        <v>806</v>
      </c>
      <c r="H1358" s="94">
        <v>16</v>
      </c>
      <c r="I1358" s="77" t="s">
        <v>807</v>
      </c>
      <c r="J1358" s="78">
        <v>430.72</v>
      </c>
    </row>
    <row r="1359" spans="1:10" ht="15" thickTop="1" x14ac:dyDescent="0.2">
      <c r="A1359" s="95"/>
      <c r="B1359" s="95"/>
      <c r="C1359" s="95"/>
      <c r="D1359" s="95"/>
      <c r="E1359" s="95"/>
      <c r="F1359" s="95"/>
      <c r="G1359" s="95"/>
      <c r="H1359" s="95"/>
      <c r="I1359" s="95"/>
      <c r="J1359" s="95"/>
    </row>
    <row r="1360" spans="1:10" ht="15" x14ac:dyDescent="0.2">
      <c r="A1360" s="75" t="s">
        <v>433</v>
      </c>
      <c r="B1360" s="17" t="s">
        <v>11</v>
      </c>
      <c r="C1360" s="75" t="s">
        <v>12</v>
      </c>
      <c r="D1360" s="75" t="s">
        <v>2</v>
      </c>
      <c r="E1360" s="124" t="s">
        <v>779</v>
      </c>
      <c r="F1360" s="124"/>
      <c r="G1360" s="76" t="s">
        <v>3</v>
      </c>
      <c r="H1360" s="17" t="s">
        <v>4</v>
      </c>
      <c r="I1360" s="17" t="s">
        <v>13</v>
      </c>
      <c r="J1360" s="17" t="s">
        <v>17</v>
      </c>
    </row>
    <row r="1361" spans="1:10" ht="25.5" x14ac:dyDescent="0.2">
      <c r="A1361" s="19" t="s">
        <v>780</v>
      </c>
      <c r="B1361" s="20" t="s">
        <v>434</v>
      </c>
      <c r="C1361" s="19" t="s">
        <v>15</v>
      </c>
      <c r="D1361" s="19" t="s">
        <v>435</v>
      </c>
      <c r="E1361" s="125">
        <v>39.1</v>
      </c>
      <c r="F1361" s="125"/>
      <c r="G1361" s="21" t="s">
        <v>32</v>
      </c>
      <c r="H1361" s="86">
        <v>1</v>
      </c>
      <c r="I1361" s="82">
        <v>17.309999999999999</v>
      </c>
      <c r="J1361" s="82">
        <v>17.309999999999999</v>
      </c>
    </row>
    <row r="1362" spans="1:10" ht="38.25" x14ac:dyDescent="0.2">
      <c r="A1362" s="87" t="s">
        <v>781</v>
      </c>
      <c r="B1362" s="88" t="s">
        <v>812</v>
      </c>
      <c r="C1362" s="87" t="s">
        <v>15</v>
      </c>
      <c r="D1362" s="87" t="s">
        <v>813</v>
      </c>
      <c r="E1362" s="126" t="s">
        <v>784</v>
      </c>
      <c r="F1362" s="126"/>
      <c r="G1362" s="89" t="s">
        <v>785</v>
      </c>
      <c r="H1362" s="90">
        <v>0.15</v>
      </c>
      <c r="I1362" s="91">
        <v>18.57</v>
      </c>
      <c r="J1362" s="91">
        <v>2.78</v>
      </c>
    </row>
    <row r="1363" spans="1:10" ht="38.25" x14ac:dyDescent="0.2">
      <c r="A1363" s="87" t="s">
        <v>781</v>
      </c>
      <c r="B1363" s="88" t="s">
        <v>814</v>
      </c>
      <c r="C1363" s="87" t="s">
        <v>15</v>
      </c>
      <c r="D1363" s="87" t="s">
        <v>815</v>
      </c>
      <c r="E1363" s="126" t="s">
        <v>784</v>
      </c>
      <c r="F1363" s="126"/>
      <c r="G1363" s="89" t="s">
        <v>785</v>
      </c>
      <c r="H1363" s="90">
        <v>0.15</v>
      </c>
      <c r="I1363" s="91">
        <v>27.08</v>
      </c>
      <c r="J1363" s="91">
        <v>4.0599999999999996</v>
      </c>
    </row>
    <row r="1364" spans="1:10" ht="38.25" x14ac:dyDescent="0.2">
      <c r="A1364" s="87" t="s">
        <v>781</v>
      </c>
      <c r="B1364" s="88" t="s">
        <v>1268</v>
      </c>
      <c r="C1364" s="87" t="s">
        <v>15</v>
      </c>
      <c r="D1364" s="87" t="s">
        <v>1269</v>
      </c>
      <c r="E1364" s="126" t="s">
        <v>794</v>
      </c>
      <c r="F1364" s="126"/>
      <c r="G1364" s="89" t="s">
        <v>32</v>
      </c>
      <c r="H1364" s="90">
        <v>1</v>
      </c>
      <c r="I1364" s="91">
        <v>10.47</v>
      </c>
      <c r="J1364" s="91">
        <v>10.47</v>
      </c>
    </row>
    <row r="1365" spans="1:10" ht="38.25" x14ac:dyDescent="0.2">
      <c r="A1365" s="92"/>
      <c r="B1365" s="92"/>
      <c r="C1365" s="92"/>
      <c r="D1365" s="92"/>
      <c r="E1365" s="92" t="s">
        <v>801</v>
      </c>
      <c r="F1365" s="93">
        <v>6.84</v>
      </c>
      <c r="G1365" s="92" t="s">
        <v>802</v>
      </c>
      <c r="H1365" s="93">
        <v>0</v>
      </c>
      <c r="I1365" s="92" t="s">
        <v>803</v>
      </c>
      <c r="J1365" s="93">
        <v>6.84</v>
      </c>
    </row>
    <row r="1366" spans="1:10" ht="38.25" x14ac:dyDescent="0.2">
      <c r="A1366" s="92"/>
      <c r="B1366" s="92"/>
      <c r="C1366" s="92"/>
      <c r="D1366" s="92"/>
      <c r="E1366" s="92" t="s">
        <v>804</v>
      </c>
      <c r="F1366" s="93">
        <v>4.9800000000000004</v>
      </c>
      <c r="G1366" s="92"/>
      <c r="H1366" s="127" t="s">
        <v>805</v>
      </c>
      <c r="I1366" s="127"/>
      <c r="J1366" s="93">
        <v>22.29</v>
      </c>
    </row>
    <row r="1367" spans="1:10" ht="15" thickBot="1" x14ac:dyDescent="0.25">
      <c r="A1367" s="77"/>
      <c r="B1367" s="77"/>
      <c r="C1367" s="77"/>
      <c r="D1367" s="77"/>
      <c r="E1367" s="77"/>
      <c r="F1367" s="77"/>
      <c r="G1367" s="77" t="s">
        <v>806</v>
      </c>
      <c r="H1367" s="94">
        <v>25</v>
      </c>
      <c r="I1367" s="77" t="s">
        <v>807</v>
      </c>
      <c r="J1367" s="78">
        <v>557.25</v>
      </c>
    </row>
    <row r="1368" spans="1:10" ht="15" thickTop="1" x14ac:dyDescent="0.2">
      <c r="A1368" s="95"/>
      <c r="B1368" s="95"/>
      <c r="C1368" s="95"/>
      <c r="D1368" s="95"/>
      <c r="E1368" s="95"/>
      <c r="F1368" s="95"/>
      <c r="G1368" s="95"/>
      <c r="H1368" s="95"/>
      <c r="I1368" s="95"/>
      <c r="J1368" s="95"/>
    </row>
    <row r="1369" spans="1:10" ht="15" x14ac:dyDescent="0.2">
      <c r="A1369" s="75" t="s">
        <v>436</v>
      </c>
      <c r="B1369" s="17" t="s">
        <v>11</v>
      </c>
      <c r="C1369" s="75" t="s">
        <v>12</v>
      </c>
      <c r="D1369" s="75" t="s">
        <v>2</v>
      </c>
      <c r="E1369" s="124" t="s">
        <v>779</v>
      </c>
      <c r="F1369" s="124"/>
      <c r="G1369" s="76" t="s">
        <v>3</v>
      </c>
      <c r="H1369" s="17" t="s">
        <v>4</v>
      </c>
      <c r="I1369" s="17" t="s">
        <v>13</v>
      </c>
      <c r="J1369" s="17" t="s">
        <v>17</v>
      </c>
    </row>
    <row r="1370" spans="1:10" ht="25.5" x14ac:dyDescent="0.2">
      <c r="A1370" s="19" t="s">
        <v>780</v>
      </c>
      <c r="B1370" s="20" t="s">
        <v>437</v>
      </c>
      <c r="C1370" s="19" t="s">
        <v>15</v>
      </c>
      <c r="D1370" s="19" t="s">
        <v>438</v>
      </c>
      <c r="E1370" s="125">
        <v>39.04</v>
      </c>
      <c r="F1370" s="125"/>
      <c r="G1370" s="21" t="s">
        <v>78</v>
      </c>
      <c r="H1370" s="86">
        <v>1</v>
      </c>
      <c r="I1370" s="82">
        <v>18.649999999999999</v>
      </c>
      <c r="J1370" s="82">
        <v>18.649999999999999</v>
      </c>
    </row>
    <row r="1371" spans="1:10" ht="38.25" x14ac:dyDescent="0.2">
      <c r="A1371" s="87" t="s">
        <v>781</v>
      </c>
      <c r="B1371" s="88" t="s">
        <v>812</v>
      </c>
      <c r="C1371" s="87" t="s">
        <v>15</v>
      </c>
      <c r="D1371" s="87" t="s">
        <v>813</v>
      </c>
      <c r="E1371" s="126" t="s">
        <v>784</v>
      </c>
      <c r="F1371" s="126"/>
      <c r="G1371" s="89" t="s">
        <v>785</v>
      </c>
      <c r="H1371" s="90">
        <v>0.05</v>
      </c>
      <c r="I1371" s="91">
        <v>18.57</v>
      </c>
      <c r="J1371" s="91">
        <v>0.92</v>
      </c>
    </row>
    <row r="1372" spans="1:10" ht="38.25" x14ac:dyDescent="0.2">
      <c r="A1372" s="87" t="s">
        <v>781</v>
      </c>
      <c r="B1372" s="88" t="s">
        <v>814</v>
      </c>
      <c r="C1372" s="87" t="s">
        <v>15</v>
      </c>
      <c r="D1372" s="87" t="s">
        <v>815</v>
      </c>
      <c r="E1372" s="126" t="s">
        <v>784</v>
      </c>
      <c r="F1372" s="126"/>
      <c r="G1372" s="89" t="s">
        <v>785</v>
      </c>
      <c r="H1372" s="90">
        <v>0.05</v>
      </c>
      <c r="I1372" s="91">
        <v>27.08</v>
      </c>
      <c r="J1372" s="91">
        <v>1.35</v>
      </c>
    </row>
    <row r="1373" spans="1:10" ht="38.25" x14ac:dyDescent="0.2">
      <c r="A1373" s="87" t="s">
        <v>781</v>
      </c>
      <c r="B1373" s="88" t="s">
        <v>1270</v>
      </c>
      <c r="C1373" s="87" t="s">
        <v>15</v>
      </c>
      <c r="D1373" s="87" t="s">
        <v>1271</v>
      </c>
      <c r="E1373" s="126" t="s">
        <v>794</v>
      </c>
      <c r="F1373" s="126"/>
      <c r="G1373" s="89" t="s">
        <v>78</v>
      </c>
      <c r="H1373" s="90">
        <v>1.02</v>
      </c>
      <c r="I1373" s="91">
        <v>16.059999999999999</v>
      </c>
      <c r="J1373" s="91">
        <v>16.38</v>
      </c>
    </row>
    <row r="1374" spans="1:10" ht="38.25" x14ac:dyDescent="0.2">
      <c r="A1374" s="92"/>
      <c r="B1374" s="92"/>
      <c r="C1374" s="92"/>
      <c r="D1374" s="92"/>
      <c r="E1374" s="92" t="s">
        <v>801</v>
      </c>
      <c r="F1374" s="93">
        <v>2.27</v>
      </c>
      <c r="G1374" s="92" t="s">
        <v>802</v>
      </c>
      <c r="H1374" s="93">
        <v>0</v>
      </c>
      <c r="I1374" s="92" t="s">
        <v>803</v>
      </c>
      <c r="J1374" s="93">
        <v>2.27</v>
      </c>
    </row>
    <row r="1375" spans="1:10" ht="38.25" x14ac:dyDescent="0.2">
      <c r="A1375" s="92"/>
      <c r="B1375" s="92"/>
      <c r="C1375" s="92"/>
      <c r="D1375" s="92"/>
      <c r="E1375" s="92" t="s">
        <v>804</v>
      </c>
      <c r="F1375" s="93">
        <v>5.37</v>
      </c>
      <c r="G1375" s="92"/>
      <c r="H1375" s="127" t="s">
        <v>805</v>
      </c>
      <c r="I1375" s="127"/>
      <c r="J1375" s="93">
        <v>24.02</v>
      </c>
    </row>
    <row r="1376" spans="1:10" ht="15" thickBot="1" x14ac:dyDescent="0.25">
      <c r="A1376" s="77"/>
      <c r="B1376" s="77"/>
      <c r="C1376" s="77"/>
      <c r="D1376" s="77"/>
      <c r="E1376" s="77"/>
      <c r="F1376" s="77"/>
      <c r="G1376" s="77" t="s">
        <v>806</v>
      </c>
      <c r="H1376" s="94">
        <v>45</v>
      </c>
      <c r="I1376" s="77" t="s">
        <v>807</v>
      </c>
      <c r="J1376" s="78">
        <v>1080.9000000000001</v>
      </c>
    </row>
    <row r="1377" spans="1:10" ht="15" thickTop="1" x14ac:dyDescent="0.2">
      <c r="A1377" s="95"/>
      <c r="B1377" s="95"/>
      <c r="C1377" s="95"/>
      <c r="D1377" s="95"/>
      <c r="E1377" s="95"/>
      <c r="F1377" s="95"/>
      <c r="G1377" s="95"/>
      <c r="H1377" s="95"/>
      <c r="I1377" s="95"/>
      <c r="J1377" s="95"/>
    </row>
    <row r="1378" spans="1:10" ht="15" x14ac:dyDescent="0.2">
      <c r="A1378" s="75" t="s">
        <v>439</v>
      </c>
      <c r="B1378" s="17" t="s">
        <v>11</v>
      </c>
      <c r="C1378" s="75" t="s">
        <v>12</v>
      </c>
      <c r="D1378" s="75" t="s">
        <v>2</v>
      </c>
      <c r="E1378" s="124" t="s">
        <v>779</v>
      </c>
      <c r="F1378" s="124"/>
      <c r="G1378" s="76" t="s">
        <v>3</v>
      </c>
      <c r="H1378" s="17" t="s">
        <v>4</v>
      </c>
      <c r="I1378" s="17" t="s">
        <v>13</v>
      </c>
      <c r="J1378" s="17" t="s">
        <v>17</v>
      </c>
    </row>
    <row r="1379" spans="1:10" ht="25.5" x14ac:dyDescent="0.2">
      <c r="A1379" s="19" t="s">
        <v>780</v>
      </c>
      <c r="B1379" s="20" t="s">
        <v>440</v>
      </c>
      <c r="C1379" s="19" t="s">
        <v>15</v>
      </c>
      <c r="D1379" s="19" t="s">
        <v>441</v>
      </c>
      <c r="E1379" s="125">
        <v>39.04</v>
      </c>
      <c r="F1379" s="125"/>
      <c r="G1379" s="21" t="s">
        <v>78</v>
      </c>
      <c r="H1379" s="86">
        <v>1</v>
      </c>
      <c r="I1379" s="82">
        <v>58.62</v>
      </c>
      <c r="J1379" s="82">
        <v>58.62</v>
      </c>
    </row>
    <row r="1380" spans="1:10" ht="38.25" x14ac:dyDescent="0.2">
      <c r="A1380" s="87" t="s">
        <v>781</v>
      </c>
      <c r="B1380" s="88" t="s">
        <v>812</v>
      </c>
      <c r="C1380" s="87" t="s">
        <v>15</v>
      </c>
      <c r="D1380" s="87" t="s">
        <v>813</v>
      </c>
      <c r="E1380" s="126" t="s">
        <v>784</v>
      </c>
      <c r="F1380" s="126"/>
      <c r="G1380" s="89" t="s">
        <v>785</v>
      </c>
      <c r="H1380" s="90">
        <v>0.2</v>
      </c>
      <c r="I1380" s="91">
        <v>18.57</v>
      </c>
      <c r="J1380" s="91">
        <v>3.71</v>
      </c>
    </row>
    <row r="1381" spans="1:10" ht="38.25" x14ac:dyDescent="0.2">
      <c r="A1381" s="87" t="s">
        <v>781</v>
      </c>
      <c r="B1381" s="88" t="s">
        <v>814</v>
      </c>
      <c r="C1381" s="87" t="s">
        <v>15</v>
      </c>
      <c r="D1381" s="87" t="s">
        <v>815</v>
      </c>
      <c r="E1381" s="126" t="s">
        <v>784</v>
      </c>
      <c r="F1381" s="126"/>
      <c r="G1381" s="89" t="s">
        <v>785</v>
      </c>
      <c r="H1381" s="90">
        <v>0.2</v>
      </c>
      <c r="I1381" s="91">
        <v>27.08</v>
      </c>
      <c r="J1381" s="91">
        <v>5.41</v>
      </c>
    </row>
    <row r="1382" spans="1:10" ht="38.25" x14ac:dyDescent="0.2">
      <c r="A1382" s="87" t="s">
        <v>781</v>
      </c>
      <c r="B1382" s="88" t="s">
        <v>1272</v>
      </c>
      <c r="C1382" s="87" t="s">
        <v>15</v>
      </c>
      <c r="D1382" s="87" t="s">
        <v>1273</v>
      </c>
      <c r="E1382" s="126" t="s">
        <v>794</v>
      </c>
      <c r="F1382" s="126"/>
      <c r="G1382" s="89" t="s">
        <v>78</v>
      </c>
      <c r="H1382" s="90">
        <v>1.02</v>
      </c>
      <c r="I1382" s="91">
        <v>48.53</v>
      </c>
      <c r="J1382" s="91">
        <v>49.5</v>
      </c>
    </row>
    <row r="1383" spans="1:10" ht="38.25" x14ac:dyDescent="0.2">
      <c r="A1383" s="92"/>
      <c r="B1383" s="92"/>
      <c r="C1383" s="92"/>
      <c r="D1383" s="92"/>
      <c r="E1383" s="92" t="s">
        <v>801</v>
      </c>
      <c r="F1383" s="93">
        <v>9.1199999999999992</v>
      </c>
      <c r="G1383" s="92" t="s">
        <v>802</v>
      </c>
      <c r="H1383" s="93">
        <v>0</v>
      </c>
      <c r="I1383" s="92" t="s">
        <v>803</v>
      </c>
      <c r="J1383" s="93">
        <v>9.1199999999999992</v>
      </c>
    </row>
    <row r="1384" spans="1:10" ht="38.25" x14ac:dyDescent="0.2">
      <c r="A1384" s="92"/>
      <c r="B1384" s="92"/>
      <c r="C1384" s="92"/>
      <c r="D1384" s="92"/>
      <c r="E1384" s="92" t="s">
        <v>804</v>
      </c>
      <c r="F1384" s="93">
        <v>16.89</v>
      </c>
      <c r="G1384" s="92"/>
      <c r="H1384" s="127" t="s">
        <v>805</v>
      </c>
      <c r="I1384" s="127"/>
      <c r="J1384" s="93">
        <v>75.510000000000005</v>
      </c>
    </row>
    <row r="1385" spans="1:10" ht="15" thickBot="1" x14ac:dyDescent="0.25">
      <c r="A1385" s="77"/>
      <c r="B1385" s="77"/>
      <c r="C1385" s="77"/>
      <c r="D1385" s="77"/>
      <c r="E1385" s="77"/>
      <c r="F1385" s="77"/>
      <c r="G1385" s="77" t="s">
        <v>806</v>
      </c>
      <c r="H1385" s="94">
        <v>30</v>
      </c>
      <c r="I1385" s="77" t="s">
        <v>807</v>
      </c>
      <c r="J1385" s="78">
        <v>2265.3000000000002</v>
      </c>
    </row>
    <row r="1386" spans="1:10" ht="15" thickTop="1" x14ac:dyDescent="0.2">
      <c r="A1386" s="95"/>
      <c r="B1386" s="95"/>
      <c r="C1386" s="95"/>
      <c r="D1386" s="95"/>
      <c r="E1386" s="95"/>
      <c r="F1386" s="95"/>
      <c r="G1386" s="95"/>
      <c r="H1386" s="95"/>
      <c r="I1386" s="95"/>
      <c r="J1386" s="95"/>
    </row>
    <row r="1387" spans="1:10" ht="15" x14ac:dyDescent="0.2">
      <c r="A1387" s="75" t="s">
        <v>442</v>
      </c>
      <c r="B1387" s="17" t="s">
        <v>11</v>
      </c>
      <c r="C1387" s="75" t="s">
        <v>12</v>
      </c>
      <c r="D1387" s="75" t="s">
        <v>2</v>
      </c>
      <c r="E1387" s="124" t="s">
        <v>779</v>
      </c>
      <c r="F1387" s="124"/>
      <c r="G1387" s="76" t="s">
        <v>3</v>
      </c>
      <c r="H1387" s="17" t="s">
        <v>4</v>
      </c>
      <c r="I1387" s="17" t="s">
        <v>13</v>
      </c>
      <c r="J1387" s="17" t="s">
        <v>17</v>
      </c>
    </row>
    <row r="1388" spans="1:10" ht="25.5" x14ac:dyDescent="0.2">
      <c r="A1388" s="19" t="s">
        <v>780</v>
      </c>
      <c r="B1388" s="20" t="s">
        <v>443</v>
      </c>
      <c r="C1388" s="19" t="s">
        <v>15</v>
      </c>
      <c r="D1388" s="19" t="s">
        <v>444</v>
      </c>
      <c r="E1388" s="125">
        <v>42.05</v>
      </c>
      <c r="F1388" s="125"/>
      <c r="G1388" s="21" t="s">
        <v>32</v>
      </c>
      <c r="H1388" s="86">
        <v>1</v>
      </c>
      <c r="I1388" s="82">
        <v>200.82</v>
      </c>
      <c r="J1388" s="82">
        <v>200.82</v>
      </c>
    </row>
    <row r="1389" spans="1:10" ht="38.25" x14ac:dyDescent="0.2">
      <c r="A1389" s="87" t="s">
        <v>781</v>
      </c>
      <c r="B1389" s="88" t="s">
        <v>814</v>
      </c>
      <c r="C1389" s="87" t="s">
        <v>15</v>
      </c>
      <c r="D1389" s="87" t="s">
        <v>815</v>
      </c>
      <c r="E1389" s="126" t="s">
        <v>784</v>
      </c>
      <c r="F1389" s="126"/>
      <c r="G1389" s="89" t="s">
        <v>785</v>
      </c>
      <c r="H1389" s="90">
        <v>0.5</v>
      </c>
      <c r="I1389" s="91">
        <v>27.08</v>
      </c>
      <c r="J1389" s="91">
        <v>13.54</v>
      </c>
    </row>
    <row r="1390" spans="1:10" ht="38.25" x14ac:dyDescent="0.2">
      <c r="A1390" s="87" t="s">
        <v>781</v>
      </c>
      <c r="B1390" s="88" t="s">
        <v>812</v>
      </c>
      <c r="C1390" s="87" t="s">
        <v>15</v>
      </c>
      <c r="D1390" s="87" t="s">
        <v>813</v>
      </c>
      <c r="E1390" s="126" t="s">
        <v>784</v>
      </c>
      <c r="F1390" s="126"/>
      <c r="G1390" s="89" t="s">
        <v>785</v>
      </c>
      <c r="H1390" s="90">
        <v>0.5</v>
      </c>
      <c r="I1390" s="91">
        <v>18.57</v>
      </c>
      <c r="J1390" s="91">
        <v>9.2799999999999994</v>
      </c>
    </row>
    <row r="1391" spans="1:10" ht="38.25" x14ac:dyDescent="0.2">
      <c r="A1391" s="87" t="s">
        <v>781</v>
      </c>
      <c r="B1391" s="88" t="s">
        <v>1274</v>
      </c>
      <c r="C1391" s="87" t="s">
        <v>15</v>
      </c>
      <c r="D1391" s="87" t="s">
        <v>1275</v>
      </c>
      <c r="E1391" s="126" t="s">
        <v>794</v>
      </c>
      <c r="F1391" s="126"/>
      <c r="G1391" s="89" t="s">
        <v>32</v>
      </c>
      <c r="H1391" s="90">
        <v>1</v>
      </c>
      <c r="I1391" s="91">
        <v>178</v>
      </c>
      <c r="J1391" s="91">
        <v>178</v>
      </c>
    </row>
    <row r="1392" spans="1:10" ht="38.25" x14ac:dyDescent="0.2">
      <c r="A1392" s="92"/>
      <c r="B1392" s="92"/>
      <c r="C1392" s="92"/>
      <c r="D1392" s="92"/>
      <c r="E1392" s="92" t="s">
        <v>801</v>
      </c>
      <c r="F1392" s="93">
        <v>22.82</v>
      </c>
      <c r="G1392" s="92" t="s">
        <v>802</v>
      </c>
      <c r="H1392" s="93">
        <v>0</v>
      </c>
      <c r="I1392" s="92" t="s">
        <v>803</v>
      </c>
      <c r="J1392" s="93">
        <v>22.82</v>
      </c>
    </row>
    <row r="1393" spans="1:10" ht="38.25" x14ac:dyDescent="0.2">
      <c r="A1393" s="92"/>
      <c r="B1393" s="92"/>
      <c r="C1393" s="92"/>
      <c r="D1393" s="92"/>
      <c r="E1393" s="92" t="s">
        <v>804</v>
      </c>
      <c r="F1393" s="93">
        <v>57.87</v>
      </c>
      <c r="G1393" s="92"/>
      <c r="H1393" s="127" t="s">
        <v>805</v>
      </c>
      <c r="I1393" s="127"/>
      <c r="J1393" s="93">
        <v>258.69</v>
      </c>
    </row>
    <row r="1394" spans="1:10" ht="15" thickBot="1" x14ac:dyDescent="0.25">
      <c r="A1394" s="77"/>
      <c r="B1394" s="77"/>
      <c r="C1394" s="77"/>
      <c r="D1394" s="77"/>
      <c r="E1394" s="77"/>
      <c r="F1394" s="77"/>
      <c r="G1394" s="77" t="s">
        <v>806</v>
      </c>
      <c r="H1394" s="94">
        <v>6</v>
      </c>
      <c r="I1394" s="77" t="s">
        <v>807</v>
      </c>
      <c r="J1394" s="78">
        <v>1552.14</v>
      </c>
    </row>
    <row r="1395" spans="1:10" ht="15" thickTop="1" x14ac:dyDescent="0.2">
      <c r="A1395" s="95"/>
      <c r="B1395" s="95"/>
      <c r="C1395" s="95"/>
      <c r="D1395" s="95"/>
      <c r="E1395" s="95"/>
      <c r="F1395" s="95"/>
      <c r="G1395" s="95"/>
      <c r="H1395" s="95"/>
      <c r="I1395" s="95"/>
      <c r="J1395" s="95"/>
    </row>
    <row r="1396" spans="1:10" ht="15" x14ac:dyDescent="0.2">
      <c r="A1396" s="75" t="s">
        <v>445</v>
      </c>
      <c r="B1396" s="17" t="s">
        <v>11</v>
      </c>
      <c r="C1396" s="75" t="s">
        <v>12</v>
      </c>
      <c r="D1396" s="75" t="s">
        <v>2</v>
      </c>
      <c r="E1396" s="124" t="s">
        <v>779</v>
      </c>
      <c r="F1396" s="124"/>
      <c r="G1396" s="76" t="s">
        <v>3</v>
      </c>
      <c r="H1396" s="17" t="s">
        <v>4</v>
      </c>
      <c r="I1396" s="17" t="s">
        <v>13</v>
      </c>
      <c r="J1396" s="17" t="s">
        <v>17</v>
      </c>
    </row>
    <row r="1397" spans="1:10" ht="25.5" x14ac:dyDescent="0.2">
      <c r="A1397" s="19" t="s">
        <v>780</v>
      </c>
      <c r="B1397" s="20" t="s">
        <v>224</v>
      </c>
      <c r="C1397" s="19" t="s">
        <v>15</v>
      </c>
      <c r="D1397" s="19" t="s">
        <v>225</v>
      </c>
      <c r="E1397" s="125">
        <v>42.05</v>
      </c>
      <c r="F1397" s="125"/>
      <c r="G1397" s="21" t="s">
        <v>32</v>
      </c>
      <c r="H1397" s="86">
        <v>1</v>
      </c>
      <c r="I1397" s="82">
        <v>42.24</v>
      </c>
      <c r="J1397" s="82">
        <v>42.24</v>
      </c>
    </row>
    <row r="1398" spans="1:10" ht="38.25" x14ac:dyDescent="0.2">
      <c r="A1398" s="87" t="s">
        <v>781</v>
      </c>
      <c r="B1398" s="88" t="s">
        <v>814</v>
      </c>
      <c r="C1398" s="87" t="s">
        <v>15</v>
      </c>
      <c r="D1398" s="87" t="s">
        <v>815</v>
      </c>
      <c r="E1398" s="126" t="s">
        <v>784</v>
      </c>
      <c r="F1398" s="126"/>
      <c r="G1398" s="89" t="s">
        <v>785</v>
      </c>
      <c r="H1398" s="90">
        <v>0.25</v>
      </c>
      <c r="I1398" s="91">
        <v>27.08</v>
      </c>
      <c r="J1398" s="91">
        <v>6.77</v>
      </c>
    </row>
    <row r="1399" spans="1:10" ht="38.25" x14ac:dyDescent="0.2">
      <c r="A1399" s="87" t="s">
        <v>781</v>
      </c>
      <c r="B1399" s="88" t="s">
        <v>812</v>
      </c>
      <c r="C1399" s="87" t="s">
        <v>15</v>
      </c>
      <c r="D1399" s="87" t="s">
        <v>813</v>
      </c>
      <c r="E1399" s="126" t="s">
        <v>784</v>
      </c>
      <c r="F1399" s="126"/>
      <c r="G1399" s="89" t="s">
        <v>785</v>
      </c>
      <c r="H1399" s="90">
        <v>0.25</v>
      </c>
      <c r="I1399" s="91">
        <v>18.57</v>
      </c>
      <c r="J1399" s="91">
        <v>4.6399999999999997</v>
      </c>
    </row>
    <row r="1400" spans="1:10" ht="38.25" x14ac:dyDescent="0.2">
      <c r="A1400" s="87" t="s">
        <v>781</v>
      </c>
      <c r="B1400" s="88" t="s">
        <v>1007</v>
      </c>
      <c r="C1400" s="87" t="s">
        <v>15</v>
      </c>
      <c r="D1400" s="87" t="s">
        <v>1008</v>
      </c>
      <c r="E1400" s="126" t="s">
        <v>794</v>
      </c>
      <c r="F1400" s="126"/>
      <c r="G1400" s="89" t="s">
        <v>32</v>
      </c>
      <c r="H1400" s="90">
        <v>1</v>
      </c>
      <c r="I1400" s="91">
        <v>30.83</v>
      </c>
      <c r="J1400" s="91">
        <v>30.83</v>
      </c>
    </row>
    <row r="1401" spans="1:10" ht="38.25" x14ac:dyDescent="0.2">
      <c r="A1401" s="92"/>
      <c r="B1401" s="92"/>
      <c r="C1401" s="92"/>
      <c r="D1401" s="92"/>
      <c r="E1401" s="92" t="s">
        <v>801</v>
      </c>
      <c r="F1401" s="93">
        <v>11.41</v>
      </c>
      <c r="G1401" s="92" t="s">
        <v>802</v>
      </c>
      <c r="H1401" s="93">
        <v>0</v>
      </c>
      <c r="I1401" s="92" t="s">
        <v>803</v>
      </c>
      <c r="J1401" s="93">
        <v>11.41</v>
      </c>
    </row>
    <row r="1402" spans="1:10" ht="38.25" x14ac:dyDescent="0.2">
      <c r="A1402" s="92"/>
      <c r="B1402" s="92"/>
      <c r="C1402" s="92"/>
      <c r="D1402" s="92"/>
      <c r="E1402" s="92" t="s">
        <v>804</v>
      </c>
      <c r="F1402" s="93">
        <v>12.17</v>
      </c>
      <c r="G1402" s="92"/>
      <c r="H1402" s="127" t="s">
        <v>805</v>
      </c>
      <c r="I1402" s="127"/>
      <c r="J1402" s="93">
        <v>54.41</v>
      </c>
    </row>
    <row r="1403" spans="1:10" ht="15" thickBot="1" x14ac:dyDescent="0.25">
      <c r="A1403" s="77"/>
      <c r="B1403" s="77"/>
      <c r="C1403" s="77"/>
      <c r="D1403" s="77"/>
      <c r="E1403" s="77"/>
      <c r="F1403" s="77"/>
      <c r="G1403" s="77" t="s">
        <v>806</v>
      </c>
      <c r="H1403" s="94">
        <v>6</v>
      </c>
      <c r="I1403" s="77" t="s">
        <v>807</v>
      </c>
      <c r="J1403" s="78">
        <v>326.45999999999998</v>
      </c>
    </row>
    <row r="1404" spans="1:10" ht="15" thickTop="1" x14ac:dyDescent="0.2">
      <c r="A1404" s="95"/>
      <c r="B1404" s="95"/>
      <c r="C1404" s="95"/>
      <c r="D1404" s="95"/>
      <c r="E1404" s="95"/>
      <c r="F1404" s="95"/>
      <c r="G1404" s="95"/>
      <c r="H1404" s="95"/>
      <c r="I1404" s="95"/>
      <c r="J1404" s="95"/>
    </row>
    <row r="1405" spans="1:10" x14ac:dyDescent="0.2">
      <c r="A1405" s="18" t="s">
        <v>446</v>
      </c>
      <c r="B1405" s="18"/>
      <c r="C1405" s="18"/>
      <c r="D1405" s="18" t="s">
        <v>447</v>
      </c>
      <c r="E1405" s="18"/>
      <c r="F1405" s="122"/>
      <c r="G1405" s="122"/>
      <c r="H1405" s="39"/>
      <c r="I1405" s="18"/>
      <c r="J1405" s="80">
        <v>230.85</v>
      </c>
    </row>
    <row r="1406" spans="1:10" ht="15" x14ac:dyDescent="0.2">
      <c r="A1406" s="75" t="s">
        <v>448</v>
      </c>
      <c r="B1406" s="17" t="s">
        <v>11</v>
      </c>
      <c r="C1406" s="75" t="s">
        <v>12</v>
      </c>
      <c r="D1406" s="75" t="s">
        <v>2</v>
      </c>
      <c r="E1406" s="124" t="s">
        <v>779</v>
      </c>
      <c r="F1406" s="124"/>
      <c r="G1406" s="76" t="s">
        <v>3</v>
      </c>
      <c r="H1406" s="17" t="s">
        <v>4</v>
      </c>
      <c r="I1406" s="17" t="s">
        <v>13</v>
      </c>
      <c r="J1406" s="17" t="s">
        <v>17</v>
      </c>
    </row>
    <row r="1407" spans="1:10" ht="25.5" x14ac:dyDescent="0.2">
      <c r="A1407" s="19" t="s">
        <v>780</v>
      </c>
      <c r="B1407" s="20" t="s">
        <v>449</v>
      </c>
      <c r="C1407" s="19" t="s">
        <v>15</v>
      </c>
      <c r="D1407" s="19" t="s">
        <v>450</v>
      </c>
      <c r="E1407" s="125">
        <v>17.02</v>
      </c>
      <c r="F1407" s="125"/>
      <c r="G1407" s="21" t="s">
        <v>5</v>
      </c>
      <c r="H1407" s="86">
        <v>1</v>
      </c>
      <c r="I1407" s="82">
        <v>6.62</v>
      </c>
      <c r="J1407" s="82">
        <v>6.62</v>
      </c>
    </row>
    <row r="1408" spans="1:10" ht="38.25" x14ac:dyDescent="0.2">
      <c r="A1408" s="87" t="s">
        <v>781</v>
      </c>
      <c r="B1408" s="88" t="s">
        <v>832</v>
      </c>
      <c r="C1408" s="87" t="s">
        <v>15</v>
      </c>
      <c r="D1408" s="87" t="s">
        <v>833</v>
      </c>
      <c r="E1408" s="126" t="s">
        <v>784</v>
      </c>
      <c r="F1408" s="126"/>
      <c r="G1408" s="89" t="s">
        <v>785</v>
      </c>
      <c r="H1408" s="90">
        <v>0.1</v>
      </c>
      <c r="I1408" s="91">
        <v>22.61</v>
      </c>
      <c r="J1408" s="91">
        <v>2.2599999999999998</v>
      </c>
    </row>
    <row r="1409" spans="1:10" ht="38.25" x14ac:dyDescent="0.2">
      <c r="A1409" s="87" t="s">
        <v>781</v>
      </c>
      <c r="B1409" s="88" t="s">
        <v>816</v>
      </c>
      <c r="C1409" s="87" t="s">
        <v>15</v>
      </c>
      <c r="D1409" s="87" t="s">
        <v>817</v>
      </c>
      <c r="E1409" s="126" t="s">
        <v>784</v>
      </c>
      <c r="F1409" s="126"/>
      <c r="G1409" s="89" t="s">
        <v>785</v>
      </c>
      <c r="H1409" s="90">
        <v>0.1125</v>
      </c>
      <c r="I1409" s="91">
        <v>18.57</v>
      </c>
      <c r="J1409" s="91">
        <v>2.08</v>
      </c>
    </row>
    <row r="1410" spans="1:10" ht="38.25" x14ac:dyDescent="0.2">
      <c r="A1410" s="87" t="s">
        <v>781</v>
      </c>
      <c r="B1410" s="88" t="s">
        <v>911</v>
      </c>
      <c r="C1410" s="87" t="s">
        <v>15</v>
      </c>
      <c r="D1410" s="87" t="s">
        <v>912</v>
      </c>
      <c r="E1410" s="126" t="s">
        <v>794</v>
      </c>
      <c r="F1410" s="126"/>
      <c r="G1410" s="89" t="s">
        <v>50</v>
      </c>
      <c r="H1410" s="90">
        <v>5.1999999999999998E-3</v>
      </c>
      <c r="I1410" s="91">
        <v>167.7</v>
      </c>
      <c r="J1410" s="91">
        <v>0.87</v>
      </c>
    </row>
    <row r="1411" spans="1:10" ht="38.25" x14ac:dyDescent="0.2">
      <c r="A1411" s="87" t="s">
        <v>781</v>
      </c>
      <c r="B1411" s="88" t="s">
        <v>913</v>
      </c>
      <c r="C1411" s="87" t="s">
        <v>15</v>
      </c>
      <c r="D1411" s="87" t="s">
        <v>914</v>
      </c>
      <c r="E1411" s="126" t="s">
        <v>794</v>
      </c>
      <c r="F1411" s="126"/>
      <c r="G1411" s="89" t="s">
        <v>134</v>
      </c>
      <c r="H1411" s="90">
        <v>2.2650000000000001</v>
      </c>
      <c r="I1411" s="91">
        <v>0.6</v>
      </c>
      <c r="J1411" s="91">
        <v>1.35</v>
      </c>
    </row>
    <row r="1412" spans="1:10" ht="38.25" x14ac:dyDescent="0.2">
      <c r="A1412" s="87" t="s">
        <v>781</v>
      </c>
      <c r="B1412" s="88" t="s">
        <v>919</v>
      </c>
      <c r="C1412" s="87" t="s">
        <v>15</v>
      </c>
      <c r="D1412" s="87" t="s">
        <v>920</v>
      </c>
      <c r="E1412" s="126" t="s">
        <v>794</v>
      </c>
      <c r="F1412" s="126"/>
      <c r="G1412" s="89" t="s">
        <v>785</v>
      </c>
      <c r="H1412" s="90">
        <v>2.2000000000000001E-3</v>
      </c>
      <c r="I1412" s="91">
        <v>27.56</v>
      </c>
      <c r="J1412" s="91">
        <v>0.06</v>
      </c>
    </row>
    <row r="1413" spans="1:10" ht="38.25" x14ac:dyDescent="0.2">
      <c r="A1413" s="92"/>
      <c r="B1413" s="92"/>
      <c r="C1413" s="92"/>
      <c r="D1413" s="92"/>
      <c r="E1413" s="92" t="s">
        <v>801</v>
      </c>
      <c r="F1413" s="93">
        <v>4.34</v>
      </c>
      <c r="G1413" s="92" t="s">
        <v>802</v>
      </c>
      <c r="H1413" s="93">
        <v>0</v>
      </c>
      <c r="I1413" s="92" t="s">
        <v>803</v>
      </c>
      <c r="J1413" s="93">
        <v>4.34</v>
      </c>
    </row>
    <row r="1414" spans="1:10" ht="38.25" x14ac:dyDescent="0.2">
      <c r="A1414" s="92"/>
      <c r="B1414" s="92"/>
      <c r="C1414" s="92"/>
      <c r="D1414" s="92"/>
      <c r="E1414" s="92" t="s">
        <v>804</v>
      </c>
      <c r="F1414" s="93">
        <v>1.9</v>
      </c>
      <c r="G1414" s="92"/>
      <c r="H1414" s="127" t="s">
        <v>805</v>
      </c>
      <c r="I1414" s="127"/>
      <c r="J1414" s="93">
        <v>8.52</v>
      </c>
    </row>
    <row r="1415" spans="1:10" ht="15" thickBot="1" x14ac:dyDescent="0.25">
      <c r="A1415" s="77"/>
      <c r="B1415" s="77"/>
      <c r="C1415" s="77"/>
      <c r="D1415" s="77"/>
      <c r="E1415" s="77"/>
      <c r="F1415" s="77"/>
      <c r="G1415" s="77" t="s">
        <v>806</v>
      </c>
      <c r="H1415" s="94">
        <v>9.5</v>
      </c>
      <c r="I1415" s="77" t="s">
        <v>807</v>
      </c>
      <c r="J1415" s="78">
        <v>80.94</v>
      </c>
    </row>
    <row r="1416" spans="1:10" ht="15" thickTop="1" x14ac:dyDescent="0.2">
      <c r="A1416" s="95"/>
      <c r="B1416" s="95"/>
      <c r="C1416" s="95"/>
      <c r="D1416" s="95"/>
      <c r="E1416" s="95"/>
      <c r="F1416" s="95"/>
      <c r="G1416" s="95"/>
      <c r="H1416" s="95"/>
      <c r="I1416" s="95"/>
      <c r="J1416" s="95"/>
    </row>
    <row r="1417" spans="1:10" ht="15" x14ac:dyDescent="0.2">
      <c r="A1417" s="75" t="s">
        <v>451</v>
      </c>
      <c r="B1417" s="17" t="s">
        <v>11</v>
      </c>
      <c r="C1417" s="75" t="s">
        <v>12</v>
      </c>
      <c r="D1417" s="75" t="s">
        <v>2</v>
      </c>
      <c r="E1417" s="124" t="s">
        <v>779</v>
      </c>
      <c r="F1417" s="124"/>
      <c r="G1417" s="76" t="s">
        <v>3</v>
      </c>
      <c r="H1417" s="17" t="s">
        <v>4</v>
      </c>
      <c r="I1417" s="17" t="s">
        <v>13</v>
      </c>
      <c r="J1417" s="17" t="s">
        <v>17</v>
      </c>
    </row>
    <row r="1418" spans="1:10" ht="25.5" x14ac:dyDescent="0.2">
      <c r="A1418" s="19" t="s">
        <v>780</v>
      </c>
      <c r="B1418" s="20" t="s">
        <v>452</v>
      </c>
      <c r="C1418" s="19" t="s">
        <v>15</v>
      </c>
      <c r="D1418" s="19" t="s">
        <v>453</v>
      </c>
      <c r="E1418" s="125">
        <v>17.02</v>
      </c>
      <c r="F1418" s="125"/>
      <c r="G1418" s="21" t="s">
        <v>5</v>
      </c>
      <c r="H1418" s="86">
        <v>1</v>
      </c>
      <c r="I1418" s="82">
        <v>12.25</v>
      </c>
      <c r="J1418" s="82">
        <v>12.25</v>
      </c>
    </row>
    <row r="1419" spans="1:10" ht="38.25" x14ac:dyDescent="0.2">
      <c r="A1419" s="87" t="s">
        <v>781</v>
      </c>
      <c r="B1419" s="88" t="s">
        <v>832</v>
      </c>
      <c r="C1419" s="87" t="s">
        <v>15</v>
      </c>
      <c r="D1419" s="87" t="s">
        <v>833</v>
      </c>
      <c r="E1419" s="126" t="s">
        <v>784</v>
      </c>
      <c r="F1419" s="126"/>
      <c r="G1419" s="89" t="s">
        <v>785</v>
      </c>
      <c r="H1419" s="90">
        <v>0.25</v>
      </c>
      <c r="I1419" s="91">
        <v>22.61</v>
      </c>
      <c r="J1419" s="91">
        <v>5.65</v>
      </c>
    </row>
    <row r="1420" spans="1:10" ht="38.25" x14ac:dyDescent="0.2">
      <c r="A1420" s="87" t="s">
        <v>781</v>
      </c>
      <c r="B1420" s="88" t="s">
        <v>816</v>
      </c>
      <c r="C1420" s="87" t="s">
        <v>15</v>
      </c>
      <c r="D1420" s="87" t="s">
        <v>817</v>
      </c>
      <c r="E1420" s="126" t="s">
        <v>784</v>
      </c>
      <c r="F1420" s="126"/>
      <c r="G1420" s="89" t="s">
        <v>785</v>
      </c>
      <c r="H1420" s="90">
        <v>0.25</v>
      </c>
      <c r="I1420" s="91">
        <v>18.57</v>
      </c>
      <c r="J1420" s="91">
        <v>4.6399999999999997</v>
      </c>
    </row>
    <row r="1421" spans="1:10" ht="38.25" x14ac:dyDescent="0.2">
      <c r="A1421" s="87" t="s">
        <v>781</v>
      </c>
      <c r="B1421" s="88" t="s">
        <v>909</v>
      </c>
      <c r="C1421" s="87" t="s">
        <v>15</v>
      </c>
      <c r="D1421" s="87" t="s">
        <v>910</v>
      </c>
      <c r="E1421" s="126" t="s">
        <v>794</v>
      </c>
      <c r="F1421" s="126"/>
      <c r="G1421" s="89" t="s">
        <v>134</v>
      </c>
      <c r="H1421" s="90">
        <v>1.0052000000000001</v>
      </c>
      <c r="I1421" s="91">
        <v>0.88</v>
      </c>
      <c r="J1421" s="91">
        <v>0.88</v>
      </c>
    </row>
    <row r="1422" spans="1:10" ht="38.25" x14ac:dyDescent="0.2">
      <c r="A1422" s="87" t="s">
        <v>781</v>
      </c>
      <c r="B1422" s="88" t="s">
        <v>911</v>
      </c>
      <c r="C1422" s="87" t="s">
        <v>15</v>
      </c>
      <c r="D1422" s="87" t="s">
        <v>912</v>
      </c>
      <c r="E1422" s="126" t="s">
        <v>794</v>
      </c>
      <c r="F1422" s="126"/>
      <c r="G1422" s="89" t="s">
        <v>50</v>
      </c>
      <c r="H1422" s="90">
        <v>4.3E-3</v>
      </c>
      <c r="I1422" s="91">
        <v>167.7</v>
      </c>
      <c r="J1422" s="91">
        <v>0.72</v>
      </c>
    </row>
    <row r="1423" spans="1:10" ht="38.25" x14ac:dyDescent="0.2">
      <c r="A1423" s="87" t="s">
        <v>781</v>
      </c>
      <c r="B1423" s="88" t="s">
        <v>913</v>
      </c>
      <c r="C1423" s="87" t="s">
        <v>15</v>
      </c>
      <c r="D1423" s="87" t="s">
        <v>914</v>
      </c>
      <c r="E1423" s="126" t="s">
        <v>794</v>
      </c>
      <c r="F1423" s="126"/>
      <c r="G1423" s="89" t="s">
        <v>134</v>
      </c>
      <c r="H1423" s="90">
        <v>0.50639999999999996</v>
      </c>
      <c r="I1423" s="91">
        <v>0.6</v>
      </c>
      <c r="J1423" s="91">
        <v>0.3</v>
      </c>
    </row>
    <row r="1424" spans="1:10" ht="38.25" x14ac:dyDescent="0.2">
      <c r="A1424" s="87" t="s">
        <v>781</v>
      </c>
      <c r="B1424" s="88" t="s">
        <v>919</v>
      </c>
      <c r="C1424" s="87" t="s">
        <v>15</v>
      </c>
      <c r="D1424" s="87" t="s">
        <v>920</v>
      </c>
      <c r="E1424" s="126" t="s">
        <v>794</v>
      </c>
      <c r="F1424" s="126"/>
      <c r="G1424" s="89" t="s">
        <v>785</v>
      </c>
      <c r="H1424" s="90">
        <v>2.2000000000000001E-3</v>
      </c>
      <c r="I1424" s="91">
        <v>27.56</v>
      </c>
      <c r="J1424" s="91">
        <v>0.06</v>
      </c>
    </row>
    <row r="1425" spans="1:10" ht="38.25" x14ac:dyDescent="0.2">
      <c r="A1425" s="92"/>
      <c r="B1425" s="92"/>
      <c r="C1425" s="92"/>
      <c r="D1425" s="92"/>
      <c r="E1425" s="92" t="s">
        <v>801</v>
      </c>
      <c r="F1425" s="93">
        <v>10.29</v>
      </c>
      <c r="G1425" s="92" t="s">
        <v>802</v>
      </c>
      <c r="H1425" s="93">
        <v>0</v>
      </c>
      <c r="I1425" s="92" t="s">
        <v>803</v>
      </c>
      <c r="J1425" s="93">
        <v>10.29</v>
      </c>
    </row>
    <row r="1426" spans="1:10" ht="38.25" x14ac:dyDescent="0.2">
      <c r="A1426" s="92"/>
      <c r="B1426" s="92"/>
      <c r="C1426" s="92"/>
      <c r="D1426" s="92"/>
      <c r="E1426" s="92" t="s">
        <v>804</v>
      </c>
      <c r="F1426" s="93">
        <v>3.53</v>
      </c>
      <c r="G1426" s="92"/>
      <c r="H1426" s="127" t="s">
        <v>805</v>
      </c>
      <c r="I1426" s="127"/>
      <c r="J1426" s="93">
        <v>15.78</v>
      </c>
    </row>
    <row r="1427" spans="1:10" ht="15" thickBot="1" x14ac:dyDescent="0.25">
      <c r="A1427" s="77"/>
      <c r="B1427" s="77"/>
      <c r="C1427" s="77"/>
      <c r="D1427" s="77"/>
      <c r="E1427" s="77"/>
      <c r="F1427" s="77"/>
      <c r="G1427" s="77" t="s">
        <v>806</v>
      </c>
      <c r="H1427" s="94">
        <v>9.5</v>
      </c>
      <c r="I1427" s="77" t="s">
        <v>807</v>
      </c>
      <c r="J1427" s="78">
        <v>149.91</v>
      </c>
    </row>
    <row r="1428" spans="1:10" ht="15" thickTop="1" x14ac:dyDescent="0.2">
      <c r="A1428" s="95"/>
      <c r="B1428" s="95"/>
      <c r="C1428" s="95"/>
      <c r="D1428" s="95"/>
      <c r="E1428" s="95"/>
      <c r="F1428" s="95"/>
      <c r="G1428" s="95"/>
      <c r="H1428" s="95"/>
      <c r="I1428" s="95"/>
      <c r="J1428" s="95"/>
    </row>
    <row r="1429" spans="1:10" x14ac:dyDescent="0.2">
      <c r="A1429" s="18" t="s">
        <v>454</v>
      </c>
      <c r="B1429" s="18"/>
      <c r="C1429" s="18"/>
      <c r="D1429" s="18" t="s">
        <v>455</v>
      </c>
      <c r="E1429" s="18"/>
      <c r="F1429" s="122"/>
      <c r="G1429" s="122"/>
      <c r="H1429" s="39"/>
      <c r="I1429" s="18"/>
      <c r="J1429" s="80">
        <v>6444.44</v>
      </c>
    </row>
    <row r="1430" spans="1:10" ht="15" x14ac:dyDescent="0.2">
      <c r="A1430" s="75" t="s">
        <v>456</v>
      </c>
      <c r="B1430" s="17" t="s">
        <v>11</v>
      </c>
      <c r="C1430" s="75" t="s">
        <v>12</v>
      </c>
      <c r="D1430" s="75" t="s">
        <v>2</v>
      </c>
      <c r="E1430" s="124" t="s">
        <v>779</v>
      </c>
      <c r="F1430" s="124"/>
      <c r="G1430" s="76" t="s">
        <v>3</v>
      </c>
      <c r="H1430" s="17" t="s">
        <v>4</v>
      </c>
      <c r="I1430" s="17" t="s">
        <v>13</v>
      </c>
      <c r="J1430" s="17" t="s">
        <v>17</v>
      </c>
    </row>
    <row r="1431" spans="1:10" ht="25.5" x14ac:dyDescent="0.2">
      <c r="A1431" s="19" t="s">
        <v>780</v>
      </c>
      <c r="B1431" s="20" t="s">
        <v>449</v>
      </c>
      <c r="C1431" s="19" t="s">
        <v>15</v>
      </c>
      <c r="D1431" s="19" t="s">
        <v>450</v>
      </c>
      <c r="E1431" s="125">
        <v>17.02</v>
      </c>
      <c r="F1431" s="125"/>
      <c r="G1431" s="21" t="s">
        <v>5</v>
      </c>
      <c r="H1431" s="86">
        <v>1</v>
      </c>
      <c r="I1431" s="82">
        <v>6.62</v>
      </c>
      <c r="J1431" s="82">
        <v>6.62</v>
      </c>
    </row>
    <row r="1432" spans="1:10" ht="38.25" x14ac:dyDescent="0.2">
      <c r="A1432" s="87" t="s">
        <v>781</v>
      </c>
      <c r="B1432" s="88" t="s">
        <v>832</v>
      </c>
      <c r="C1432" s="87" t="s">
        <v>15</v>
      </c>
      <c r="D1432" s="87" t="s">
        <v>833</v>
      </c>
      <c r="E1432" s="126" t="s">
        <v>784</v>
      </c>
      <c r="F1432" s="126"/>
      <c r="G1432" s="89" t="s">
        <v>785</v>
      </c>
      <c r="H1432" s="90">
        <v>0.1</v>
      </c>
      <c r="I1432" s="91">
        <v>22.61</v>
      </c>
      <c r="J1432" s="91">
        <v>2.2599999999999998</v>
      </c>
    </row>
    <row r="1433" spans="1:10" ht="38.25" x14ac:dyDescent="0.2">
      <c r="A1433" s="87" t="s">
        <v>781</v>
      </c>
      <c r="B1433" s="88" t="s">
        <v>816</v>
      </c>
      <c r="C1433" s="87" t="s">
        <v>15</v>
      </c>
      <c r="D1433" s="87" t="s">
        <v>817</v>
      </c>
      <c r="E1433" s="126" t="s">
        <v>784</v>
      </c>
      <c r="F1433" s="126"/>
      <c r="G1433" s="89" t="s">
        <v>785</v>
      </c>
      <c r="H1433" s="90">
        <v>0.1125</v>
      </c>
      <c r="I1433" s="91">
        <v>18.57</v>
      </c>
      <c r="J1433" s="91">
        <v>2.08</v>
      </c>
    </row>
    <row r="1434" spans="1:10" ht="38.25" x14ac:dyDescent="0.2">
      <c r="A1434" s="87" t="s">
        <v>781</v>
      </c>
      <c r="B1434" s="88" t="s">
        <v>911</v>
      </c>
      <c r="C1434" s="87" t="s">
        <v>15</v>
      </c>
      <c r="D1434" s="87" t="s">
        <v>912</v>
      </c>
      <c r="E1434" s="126" t="s">
        <v>794</v>
      </c>
      <c r="F1434" s="126"/>
      <c r="G1434" s="89" t="s">
        <v>50</v>
      </c>
      <c r="H1434" s="90">
        <v>5.1999999999999998E-3</v>
      </c>
      <c r="I1434" s="91">
        <v>167.7</v>
      </c>
      <c r="J1434" s="91">
        <v>0.87</v>
      </c>
    </row>
    <row r="1435" spans="1:10" ht="38.25" x14ac:dyDescent="0.2">
      <c r="A1435" s="87" t="s">
        <v>781</v>
      </c>
      <c r="B1435" s="88" t="s">
        <v>913</v>
      </c>
      <c r="C1435" s="87" t="s">
        <v>15</v>
      </c>
      <c r="D1435" s="87" t="s">
        <v>914</v>
      </c>
      <c r="E1435" s="126" t="s">
        <v>794</v>
      </c>
      <c r="F1435" s="126"/>
      <c r="G1435" s="89" t="s">
        <v>134</v>
      </c>
      <c r="H1435" s="90">
        <v>2.2650000000000001</v>
      </c>
      <c r="I1435" s="91">
        <v>0.6</v>
      </c>
      <c r="J1435" s="91">
        <v>1.35</v>
      </c>
    </row>
    <row r="1436" spans="1:10" ht="38.25" x14ac:dyDescent="0.2">
      <c r="A1436" s="87" t="s">
        <v>781</v>
      </c>
      <c r="B1436" s="88" t="s">
        <v>919</v>
      </c>
      <c r="C1436" s="87" t="s">
        <v>15</v>
      </c>
      <c r="D1436" s="87" t="s">
        <v>920</v>
      </c>
      <c r="E1436" s="126" t="s">
        <v>794</v>
      </c>
      <c r="F1436" s="126"/>
      <c r="G1436" s="89" t="s">
        <v>785</v>
      </c>
      <c r="H1436" s="90">
        <v>2.2000000000000001E-3</v>
      </c>
      <c r="I1436" s="91">
        <v>27.56</v>
      </c>
      <c r="J1436" s="91">
        <v>0.06</v>
      </c>
    </row>
    <row r="1437" spans="1:10" ht="38.25" x14ac:dyDescent="0.2">
      <c r="A1437" s="92"/>
      <c r="B1437" s="92"/>
      <c r="C1437" s="92"/>
      <c r="D1437" s="92"/>
      <c r="E1437" s="92" t="s">
        <v>801</v>
      </c>
      <c r="F1437" s="93">
        <v>4.34</v>
      </c>
      <c r="G1437" s="92" t="s">
        <v>802</v>
      </c>
      <c r="H1437" s="93">
        <v>0</v>
      </c>
      <c r="I1437" s="92" t="s">
        <v>803</v>
      </c>
      <c r="J1437" s="93">
        <v>4.34</v>
      </c>
    </row>
    <row r="1438" spans="1:10" ht="38.25" x14ac:dyDescent="0.2">
      <c r="A1438" s="92"/>
      <c r="B1438" s="92"/>
      <c r="C1438" s="92"/>
      <c r="D1438" s="92"/>
      <c r="E1438" s="92" t="s">
        <v>804</v>
      </c>
      <c r="F1438" s="93">
        <v>1.9</v>
      </c>
      <c r="G1438" s="92"/>
      <c r="H1438" s="127" t="s">
        <v>805</v>
      </c>
      <c r="I1438" s="127"/>
      <c r="J1438" s="93">
        <v>8.52</v>
      </c>
    </row>
    <row r="1439" spans="1:10" ht="15" thickBot="1" x14ac:dyDescent="0.25">
      <c r="A1439" s="77"/>
      <c r="B1439" s="77"/>
      <c r="C1439" s="77"/>
      <c r="D1439" s="77"/>
      <c r="E1439" s="77"/>
      <c r="F1439" s="77"/>
      <c r="G1439" s="77" t="s">
        <v>806</v>
      </c>
      <c r="H1439" s="94">
        <v>52.8</v>
      </c>
      <c r="I1439" s="77" t="s">
        <v>807</v>
      </c>
      <c r="J1439" s="78">
        <v>449.85</v>
      </c>
    </row>
    <row r="1440" spans="1:10" ht="15" thickTop="1" x14ac:dyDescent="0.2">
      <c r="A1440" s="95"/>
      <c r="B1440" s="95"/>
      <c r="C1440" s="95"/>
      <c r="D1440" s="95"/>
      <c r="E1440" s="95"/>
      <c r="F1440" s="95"/>
      <c r="G1440" s="95"/>
      <c r="H1440" s="95"/>
      <c r="I1440" s="95"/>
      <c r="J1440" s="95"/>
    </row>
    <row r="1441" spans="1:10" ht="15" x14ac:dyDescent="0.2">
      <c r="A1441" s="75" t="s">
        <v>457</v>
      </c>
      <c r="B1441" s="17" t="s">
        <v>11</v>
      </c>
      <c r="C1441" s="75" t="s">
        <v>12</v>
      </c>
      <c r="D1441" s="75" t="s">
        <v>2</v>
      </c>
      <c r="E1441" s="124" t="s">
        <v>779</v>
      </c>
      <c r="F1441" s="124"/>
      <c r="G1441" s="76" t="s">
        <v>3</v>
      </c>
      <c r="H1441" s="17" t="s">
        <v>4</v>
      </c>
      <c r="I1441" s="17" t="s">
        <v>13</v>
      </c>
      <c r="J1441" s="17" t="s">
        <v>17</v>
      </c>
    </row>
    <row r="1442" spans="1:10" ht="25.5" x14ac:dyDescent="0.2">
      <c r="A1442" s="19" t="s">
        <v>780</v>
      </c>
      <c r="B1442" s="20" t="s">
        <v>458</v>
      </c>
      <c r="C1442" s="19" t="s">
        <v>15</v>
      </c>
      <c r="D1442" s="19" t="s">
        <v>459</v>
      </c>
      <c r="E1442" s="125">
        <v>17.02</v>
      </c>
      <c r="F1442" s="125"/>
      <c r="G1442" s="21" t="s">
        <v>5</v>
      </c>
      <c r="H1442" s="86">
        <v>1</v>
      </c>
      <c r="I1442" s="82">
        <v>21.79</v>
      </c>
      <c r="J1442" s="82">
        <v>21.79</v>
      </c>
    </row>
    <row r="1443" spans="1:10" ht="38.25" x14ac:dyDescent="0.2">
      <c r="A1443" s="87" t="s">
        <v>781</v>
      </c>
      <c r="B1443" s="88" t="s">
        <v>832</v>
      </c>
      <c r="C1443" s="87" t="s">
        <v>15</v>
      </c>
      <c r="D1443" s="87" t="s">
        <v>833</v>
      </c>
      <c r="E1443" s="126" t="s">
        <v>784</v>
      </c>
      <c r="F1443" s="126"/>
      <c r="G1443" s="89" t="s">
        <v>785</v>
      </c>
      <c r="H1443" s="90">
        <v>0.2</v>
      </c>
      <c r="I1443" s="91">
        <v>22.61</v>
      </c>
      <c r="J1443" s="91">
        <v>4.5199999999999996</v>
      </c>
    </row>
    <row r="1444" spans="1:10" ht="38.25" x14ac:dyDescent="0.2">
      <c r="A1444" s="87" t="s">
        <v>781</v>
      </c>
      <c r="B1444" s="88" t="s">
        <v>816</v>
      </c>
      <c r="C1444" s="87" t="s">
        <v>15</v>
      </c>
      <c r="D1444" s="87" t="s">
        <v>817</v>
      </c>
      <c r="E1444" s="126" t="s">
        <v>784</v>
      </c>
      <c r="F1444" s="126"/>
      <c r="G1444" s="89" t="s">
        <v>785</v>
      </c>
      <c r="H1444" s="90">
        <v>0.4</v>
      </c>
      <c r="I1444" s="91">
        <v>18.57</v>
      </c>
      <c r="J1444" s="91">
        <v>7.42</v>
      </c>
    </row>
    <row r="1445" spans="1:10" ht="38.25" x14ac:dyDescent="0.2">
      <c r="A1445" s="87" t="s">
        <v>781</v>
      </c>
      <c r="B1445" s="88" t="s">
        <v>909</v>
      </c>
      <c r="C1445" s="87" t="s">
        <v>15</v>
      </c>
      <c r="D1445" s="87" t="s">
        <v>910</v>
      </c>
      <c r="E1445" s="126" t="s">
        <v>794</v>
      </c>
      <c r="F1445" s="126"/>
      <c r="G1445" s="89" t="s">
        <v>134</v>
      </c>
      <c r="H1445" s="90">
        <v>4.54</v>
      </c>
      <c r="I1445" s="91">
        <v>0.88</v>
      </c>
      <c r="J1445" s="91">
        <v>3.99</v>
      </c>
    </row>
    <row r="1446" spans="1:10" ht="38.25" x14ac:dyDescent="0.2">
      <c r="A1446" s="87" t="s">
        <v>781</v>
      </c>
      <c r="B1446" s="88" t="s">
        <v>911</v>
      </c>
      <c r="C1446" s="87" t="s">
        <v>15</v>
      </c>
      <c r="D1446" s="87" t="s">
        <v>912</v>
      </c>
      <c r="E1446" s="126" t="s">
        <v>794</v>
      </c>
      <c r="F1446" s="126"/>
      <c r="G1446" s="89" t="s">
        <v>50</v>
      </c>
      <c r="H1446" s="90">
        <v>2.5499999999999998E-2</v>
      </c>
      <c r="I1446" s="91">
        <v>167.7</v>
      </c>
      <c r="J1446" s="91">
        <v>4.2699999999999996</v>
      </c>
    </row>
    <row r="1447" spans="1:10" ht="38.25" x14ac:dyDescent="0.2">
      <c r="A1447" s="87" t="s">
        <v>781</v>
      </c>
      <c r="B1447" s="88" t="s">
        <v>913</v>
      </c>
      <c r="C1447" s="87" t="s">
        <v>15</v>
      </c>
      <c r="D1447" s="87" t="s">
        <v>914</v>
      </c>
      <c r="E1447" s="126" t="s">
        <v>794</v>
      </c>
      <c r="F1447" s="126"/>
      <c r="G1447" s="89" t="s">
        <v>134</v>
      </c>
      <c r="H1447" s="90">
        <v>2.2799999999999998</v>
      </c>
      <c r="I1447" s="91">
        <v>0.6</v>
      </c>
      <c r="J1447" s="91">
        <v>1.36</v>
      </c>
    </row>
    <row r="1448" spans="1:10" ht="38.25" x14ac:dyDescent="0.2">
      <c r="A1448" s="87" t="s">
        <v>781</v>
      </c>
      <c r="B1448" s="88" t="s">
        <v>919</v>
      </c>
      <c r="C1448" s="87" t="s">
        <v>15</v>
      </c>
      <c r="D1448" s="87" t="s">
        <v>920</v>
      </c>
      <c r="E1448" s="126" t="s">
        <v>794</v>
      </c>
      <c r="F1448" s="126"/>
      <c r="G1448" s="89" t="s">
        <v>785</v>
      </c>
      <c r="H1448" s="90">
        <v>8.6E-3</v>
      </c>
      <c r="I1448" s="91">
        <v>27.56</v>
      </c>
      <c r="J1448" s="91">
        <v>0.23</v>
      </c>
    </row>
    <row r="1449" spans="1:10" ht="38.25" x14ac:dyDescent="0.2">
      <c r="A1449" s="92"/>
      <c r="B1449" s="92"/>
      <c r="C1449" s="92"/>
      <c r="D1449" s="92"/>
      <c r="E1449" s="92" t="s">
        <v>801</v>
      </c>
      <c r="F1449" s="93">
        <v>11.94</v>
      </c>
      <c r="G1449" s="92" t="s">
        <v>802</v>
      </c>
      <c r="H1449" s="93">
        <v>0</v>
      </c>
      <c r="I1449" s="92" t="s">
        <v>803</v>
      </c>
      <c r="J1449" s="93">
        <v>11.94</v>
      </c>
    </row>
    <row r="1450" spans="1:10" ht="38.25" x14ac:dyDescent="0.2">
      <c r="A1450" s="92"/>
      <c r="B1450" s="92"/>
      <c r="C1450" s="92"/>
      <c r="D1450" s="92"/>
      <c r="E1450" s="92" t="s">
        <v>804</v>
      </c>
      <c r="F1450" s="93">
        <v>6.27</v>
      </c>
      <c r="G1450" s="92"/>
      <c r="H1450" s="127" t="s">
        <v>805</v>
      </c>
      <c r="I1450" s="127"/>
      <c r="J1450" s="93">
        <v>28.06</v>
      </c>
    </row>
    <row r="1451" spans="1:10" ht="15" thickBot="1" x14ac:dyDescent="0.25">
      <c r="A1451" s="77"/>
      <c r="B1451" s="77"/>
      <c r="C1451" s="77"/>
      <c r="D1451" s="77"/>
      <c r="E1451" s="77"/>
      <c r="F1451" s="77"/>
      <c r="G1451" s="77" t="s">
        <v>806</v>
      </c>
      <c r="H1451" s="94">
        <v>52.8</v>
      </c>
      <c r="I1451" s="77" t="s">
        <v>807</v>
      </c>
      <c r="J1451" s="78">
        <v>1481.56</v>
      </c>
    </row>
    <row r="1452" spans="1:10" ht="15" thickTop="1" x14ac:dyDescent="0.2">
      <c r="A1452" s="95"/>
      <c r="B1452" s="95"/>
      <c r="C1452" s="95"/>
      <c r="D1452" s="95"/>
      <c r="E1452" s="95"/>
      <c r="F1452" s="95"/>
      <c r="G1452" s="95"/>
      <c r="H1452" s="95"/>
      <c r="I1452" s="95"/>
      <c r="J1452" s="95"/>
    </row>
    <row r="1453" spans="1:10" ht="15" x14ac:dyDescent="0.2">
      <c r="A1453" s="75" t="s">
        <v>460</v>
      </c>
      <c r="B1453" s="17" t="s">
        <v>11</v>
      </c>
      <c r="C1453" s="75" t="s">
        <v>12</v>
      </c>
      <c r="D1453" s="75" t="s">
        <v>2</v>
      </c>
      <c r="E1453" s="124" t="s">
        <v>779</v>
      </c>
      <c r="F1453" s="124"/>
      <c r="G1453" s="76" t="s">
        <v>3</v>
      </c>
      <c r="H1453" s="17" t="s">
        <v>4</v>
      </c>
      <c r="I1453" s="17" t="s">
        <v>13</v>
      </c>
      <c r="J1453" s="17" t="s">
        <v>17</v>
      </c>
    </row>
    <row r="1454" spans="1:10" ht="25.5" x14ac:dyDescent="0.2">
      <c r="A1454" s="19" t="s">
        <v>780</v>
      </c>
      <c r="B1454" s="20" t="s">
        <v>452</v>
      </c>
      <c r="C1454" s="19" t="s">
        <v>15</v>
      </c>
      <c r="D1454" s="19" t="s">
        <v>453</v>
      </c>
      <c r="E1454" s="125">
        <v>17.02</v>
      </c>
      <c r="F1454" s="125"/>
      <c r="G1454" s="21" t="s">
        <v>5</v>
      </c>
      <c r="H1454" s="86">
        <v>1</v>
      </c>
      <c r="I1454" s="82">
        <v>12.25</v>
      </c>
      <c r="J1454" s="82">
        <v>12.25</v>
      </c>
    </row>
    <row r="1455" spans="1:10" ht="38.25" x14ac:dyDescent="0.2">
      <c r="A1455" s="87" t="s">
        <v>781</v>
      </c>
      <c r="B1455" s="88" t="s">
        <v>832</v>
      </c>
      <c r="C1455" s="87" t="s">
        <v>15</v>
      </c>
      <c r="D1455" s="87" t="s">
        <v>833</v>
      </c>
      <c r="E1455" s="126" t="s">
        <v>784</v>
      </c>
      <c r="F1455" s="126"/>
      <c r="G1455" s="89" t="s">
        <v>785</v>
      </c>
      <c r="H1455" s="90">
        <v>0.25</v>
      </c>
      <c r="I1455" s="91">
        <v>22.61</v>
      </c>
      <c r="J1455" s="91">
        <v>5.65</v>
      </c>
    </row>
    <row r="1456" spans="1:10" ht="38.25" x14ac:dyDescent="0.2">
      <c r="A1456" s="87" t="s">
        <v>781</v>
      </c>
      <c r="B1456" s="88" t="s">
        <v>816</v>
      </c>
      <c r="C1456" s="87" t="s">
        <v>15</v>
      </c>
      <c r="D1456" s="87" t="s">
        <v>817</v>
      </c>
      <c r="E1456" s="126" t="s">
        <v>784</v>
      </c>
      <c r="F1456" s="126"/>
      <c r="G1456" s="89" t="s">
        <v>785</v>
      </c>
      <c r="H1456" s="90">
        <v>0.25</v>
      </c>
      <c r="I1456" s="91">
        <v>18.57</v>
      </c>
      <c r="J1456" s="91">
        <v>4.6399999999999997</v>
      </c>
    </row>
    <row r="1457" spans="1:10" ht="38.25" x14ac:dyDescent="0.2">
      <c r="A1457" s="87" t="s">
        <v>781</v>
      </c>
      <c r="B1457" s="88" t="s">
        <v>909</v>
      </c>
      <c r="C1457" s="87" t="s">
        <v>15</v>
      </c>
      <c r="D1457" s="87" t="s">
        <v>910</v>
      </c>
      <c r="E1457" s="126" t="s">
        <v>794</v>
      </c>
      <c r="F1457" s="126"/>
      <c r="G1457" s="89" t="s">
        <v>134</v>
      </c>
      <c r="H1457" s="90">
        <v>1.0052000000000001</v>
      </c>
      <c r="I1457" s="91">
        <v>0.88</v>
      </c>
      <c r="J1457" s="91">
        <v>0.88</v>
      </c>
    </row>
    <row r="1458" spans="1:10" ht="38.25" x14ac:dyDescent="0.2">
      <c r="A1458" s="87" t="s">
        <v>781</v>
      </c>
      <c r="B1458" s="88" t="s">
        <v>911</v>
      </c>
      <c r="C1458" s="87" t="s">
        <v>15</v>
      </c>
      <c r="D1458" s="87" t="s">
        <v>912</v>
      </c>
      <c r="E1458" s="126" t="s">
        <v>794</v>
      </c>
      <c r="F1458" s="126"/>
      <c r="G1458" s="89" t="s">
        <v>50</v>
      </c>
      <c r="H1458" s="90">
        <v>4.3E-3</v>
      </c>
      <c r="I1458" s="91">
        <v>167.7</v>
      </c>
      <c r="J1458" s="91">
        <v>0.72</v>
      </c>
    </row>
    <row r="1459" spans="1:10" ht="38.25" x14ac:dyDescent="0.2">
      <c r="A1459" s="87" t="s">
        <v>781</v>
      </c>
      <c r="B1459" s="88" t="s">
        <v>913</v>
      </c>
      <c r="C1459" s="87" t="s">
        <v>15</v>
      </c>
      <c r="D1459" s="87" t="s">
        <v>914</v>
      </c>
      <c r="E1459" s="126" t="s">
        <v>794</v>
      </c>
      <c r="F1459" s="126"/>
      <c r="G1459" s="89" t="s">
        <v>134</v>
      </c>
      <c r="H1459" s="90">
        <v>0.50639999999999996</v>
      </c>
      <c r="I1459" s="91">
        <v>0.6</v>
      </c>
      <c r="J1459" s="91">
        <v>0.3</v>
      </c>
    </row>
    <row r="1460" spans="1:10" ht="38.25" x14ac:dyDescent="0.2">
      <c r="A1460" s="87" t="s">
        <v>781</v>
      </c>
      <c r="B1460" s="88" t="s">
        <v>919</v>
      </c>
      <c r="C1460" s="87" t="s">
        <v>15</v>
      </c>
      <c r="D1460" s="87" t="s">
        <v>920</v>
      </c>
      <c r="E1460" s="126" t="s">
        <v>794</v>
      </c>
      <c r="F1460" s="126"/>
      <c r="G1460" s="89" t="s">
        <v>785</v>
      </c>
      <c r="H1460" s="90">
        <v>2.2000000000000001E-3</v>
      </c>
      <c r="I1460" s="91">
        <v>27.56</v>
      </c>
      <c r="J1460" s="91">
        <v>0.06</v>
      </c>
    </row>
    <row r="1461" spans="1:10" ht="38.25" x14ac:dyDescent="0.2">
      <c r="A1461" s="92"/>
      <c r="B1461" s="92"/>
      <c r="C1461" s="92"/>
      <c r="D1461" s="92"/>
      <c r="E1461" s="92" t="s">
        <v>801</v>
      </c>
      <c r="F1461" s="93">
        <v>10.29</v>
      </c>
      <c r="G1461" s="92" t="s">
        <v>802</v>
      </c>
      <c r="H1461" s="93">
        <v>0</v>
      </c>
      <c r="I1461" s="92" t="s">
        <v>803</v>
      </c>
      <c r="J1461" s="93">
        <v>10.29</v>
      </c>
    </row>
    <row r="1462" spans="1:10" ht="38.25" x14ac:dyDescent="0.2">
      <c r="A1462" s="92"/>
      <c r="B1462" s="92"/>
      <c r="C1462" s="92"/>
      <c r="D1462" s="92"/>
      <c r="E1462" s="92" t="s">
        <v>804</v>
      </c>
      <c r="F1462" s="93">
        <v>3.53</v>
      </c>
      <c r="G1462" s="92"/>
      <c r="H1462" s="127" t="s">
        <v>805</v>
      </c>
      <c r="I1462" s="127"/>
      <c r="J1462" s="93">
        <v>15.78</v>
      </c>
    </row>
    <row r="1463" spans="1:10" ht="15" thickBot="1" x14ac:dyDescent="0.25">
      <c r="A1463" s="77"/>
      <c r="B1463" s="77"/>
      <c r="C1463" s="77"/>
      <c r="D1463" s="77"/>
      <c r="E1463" s="77"/>
      <c r="F1463" s="77"/>
      <c r="G1463" s="77" t="s">
        <v>806</v>
      </c>
      <c r="H1463" s="94">
        <v>52.8</v>
      </c>
      <c r="I1463" s="77" t="s">
        <v>807</v>
      </c>
      <c r="J1463" s="78">
        <v>833.18</v>
      </c>
    </row>
    <row r="1464" spans="1:10" ht="15" thickTop="1" x14ac:dyDescent="0.2">
      <c r="A1464" s="95"/>
      <c r="B1464" s="95"/>
      <c r="C1464" s="95"/>
      <c r="D1464" s="95"/>
      <c r="E1464" s="95"/>
      <c r="F1464" s="95"/>
      <c r="G1464" s="95"/>
      <c r="H1464" s="95"/>
      <c r="I1464" s="95"/>
      <c r="J1464" s="95"/>
    </row>
    <row r="1465" spans="1:10" ht="15" x14ac:dyDescent="0.2">
      <c r="A1465" s="75" t="s">
        <v>461</v>
      </c>
      <c r="B1465" s="17" t="s">
        <v>11</v>
      </c>
      <c r="C1465" s="75" t="s">
        <v>12</v>
      </c>
      <c r="D1465" s="75" t="s">
        <v>2</v>
      </c>
      <c r="E1465" s="124" t="s">
        <v>779</v>
      </c>
      <c r="F1465" s="124"/>
      <c r="G1465" s="76" t="s">
        <v>3</v>
      </c>
      <c r="H1465" s="17" t="s">
        <v>4</v>
      </c>
      <c r="I1465" s="17" t="s">
        <v>13</v>
      </c>
      <c r="J1465" s="17" t="s">
        <v>17</v>
      </c>
    </row>
    <row r="1466" spans="1:10" ht="38.25" x14ac:dyDescent="0.2">
      <c r="A1466" s="19" t="s">
        <v>780</v>
      </c>
      <c r="B1466" s="20" t="s">
        <v>462</v>
      </c>
      <c r="C1466" s="19" t="s">
        <v>15</v>
      </c>
      <c r="D1466" s="19" t="s">
        <v>463</v>
      </c>
      <c r="E1466" s="125">
        <v>18.079999999999998</v>
      </c>
      <c r="F1466" s="125"/>
      <c r="G1466" s="21" t="s">
        <v>5</v>
      </c>
      <c r="H1466" s="86">
        <v>1</v>
      </c>
      <c r="I1466" s="82">
        <v>133.25</v>
      </c>
      <c r="J1466" s="82">
        <v>133.25</v>
      </c>
    </row>
    <row r="1467" spans="1:10" ht="38.25" x14ac:dyDescent="0.2">
      <c r="A1467" s="87" t="s">
        <v>781</v>
      </c>
      <c r="B1467" s="88" t="s">
        <v>832</v>
      </c>
      <c r="C1467" s="87" t="s">
        <v>15</v>
      </c>
      <c r="D1467" s="87" t="s">
        <v>833</v>
      </c>
      <c r="E1467" s="126" t="s">
        <v>784</v>
      </c>
      <c r="F1467" s="126"/>
      <c r="G1467" s="89" t="s">
        <v>785</v>
      </c>
      <c r="H1467" s="90">
        <v>0.9</v>
      </c>
      <c r="I1467" s="91">
        <v>22.61</v>
      </c>
      <c r="J1467" s="91">
        <v>20.34</v>
      </c>
    </row>
    <row r="1468" spans="1:10" ht="38.25" x14ac:dyDescent="0.2">
      <c r="A1468" s="87" t="s">
        <v>781</v>
      </c>
      <c r="B1468" s="88" t="s">
        <v>816</v>
      </c>
      <c r="C1468" s="87" t="s">
        <v>15</v>
      </c>
      <c r="D1468" s="87" t="s">
        <v>817</v>
      </c>
      <c r="E1468" s="126" t="s">
        <v>784</v>
      </c>
      <c r="F1468" s="126"/>
      <c r="G1468" s="89" t="s">
        <v>785</v>
      </c>
      <c r="H1468" s="90">
        <v>0.9</v>
      </c>
      <c r="I1468" s="91">
        <v>18.57</v>
      </c>
      <c r="J1468" s="91">
        <v>16.71</v>
      </c>
    </row>
    <row r="1469" spans="1:10" ht="38.25" x14ac:dyDescent="0.2">
      <c r="A1469" s="87" t="s">
        <v>781</v>
      </c>
      <c r="B1469" s="88" t="s">
        <v>1276</v>
      </c>
      <c r="C1469" s="87" t="s">
        <v>15</v>
      </c>
      <c r="D1469" s="87" t="s">
        <v>1277</v>
      </c>
      <c r="E1469" s="126" t="s">
        <v>794</v>
      </c>
      <c r="F1469" s="126"/>
      <c r="G1469" s="89" t="s">
        <v>134</v>
      </c>
      <c r="H1469" s="90">
        <v>5</v>
      </c>
      <c r="I1469" s="91">
        <v>1.67</v>
      </c>
      <c r="J1469" s="91">
        <v>8.35</v>
      </c>
    </row>
    <row r="1470" spans="1:10" ht="38.25" x14ac:dyDescent="0.2">
      <c r="A1470" s="87" t="s">
        <v>781</v>
      </c>
      <c r="B1470" s="88" t="s">
        <v>1278</v>
      </c>
      <c r="C1470" s="87" t="s">
        <v>15</v>
      </c>
      <c r="D1470" s="87" t="s">
        <v>1279</v>
      </c>
      <c r="E1470" s="126" t="s">
        <v>794</v>
      </c>
      <c r="F1470" s="126"/>
      <c r="G1470" s="89" t="s">
        <v>134</v>
      </c>
      <c r="H1470" s="90">
        <v>0.21</v>
      </c>
      <c r="I1470" s="91">
        <v>7.45</v>
      </c>
      <c r="J1470" s="91">
        <v>1.56</v>
      </c>
    </row>
    <row r="1471" spans="1:10" ht="38.25" x14ac:dyDescent="0.2">
      <c r="A1471" s="87" t="s">
        <v>781</v>
      </c>
      <c r="B1471" s="88" t="s">
        <v>1280</v>
      </c>
      <c r="C1471" s="87" t="s">
        <v>15</v>
      </c>
      <c r="D1471" s="87" t="s">
        <v>1281</v>
      </c>
      <c r="E1471" s="126" t="s">
        <v>794</v>
      </c>
      <c r="F1471" s="126"/>
      <c r="G1471" s="89" t="s">
        <v>5</v>
      </c>
      <c r="H1471" s="90">
        <v>1.08</v>
      </c>
      <c r="I1471" s="91">
        <v>79.900000000000006</v>
      </c>
      <c r="J1471" s="91">
        <v>86.29</v>
      </c>
    </row>
    <row r="1472" spans="1:10" ht="38.25" x14ac:dyDescent="0.2">
      <c r="A1472" s="92"/>
      <c r="B1472" s="92"/>
      <c r="C1472" s="92"/>
      <c r="D1472" s="92"/>
      <c r="E1472" s="92" t="s">
        <v>801</v>
      </c>
      <c r="F1472" s="93">
        <v>37.049999999999997</v>
      </c>
      <c r="G1472" s="92" t="s">
        <v>802</v>
      </c>
      <c r="H1472" s="93">
        <v>0</v>
      </c>
      <c r="I1472" s="92" t="s">
        <v>803</v>
      </c>
      <c r="J1472" s="93">
        <v>37.049999999999997</v>
      </c>
    </row>
    <row r="1473" spans="1:10" ht="38.25" x14ac:dyDescent="0.2">
      <c r="A1473" s="92"/>
      <c r="B1473" s="92"/>
      <c r="C1473" s="92"/>
      <c r="D1473" s="92"/>
      <c r="E1473" s="92" t="s">
        <v>804</v>
      </c>
      <c r="F1473" s="93">
        <v>38.4</v>
      </c>
      <c r="G1473" s="92"/>
      <c r="H1473" s="127" t="s">
        <v>805</v>
      </c>
      <c r="I1473" s="127"/>
      <c r="J1473" s="93">
        <v>171.65</v>
      </c>
    </row>
    <row r="1474" spans="1:10" ht="15" thickBot="1" x14ac:dyDescent="0.25">
      <c r="A1474" s="77"/>
      <c r="B1474" s="77"/>
      <c r="C1474" s="77"/>
      <c r="D1474" s="77"/>
      <c r="E1474" s="77"/>
      <c r="F1474" s="77"/>
      <c r="G1474" s="77" t="s">
        <v>806</v>
      </c>
      <c r="H1474" s="94">
        <v>19.2</v>
      </c>
      <c r="I1474" s="77" t="s">
        <v>807</v>
      </c>
      <c r="J1474" s="78">
        <v>3295.68</v>
      </c>
    </row>
    <row r="1475" spans="1:10" ht="15" thickTop="1" x14ac:dyDescent="0.2">
      <c r="A1475" s="95"/>
      <c r="B1475" s="95"/>
      <c r="C1475" s="95"/>
      <c r="D1475" s="95"/>
      <c r="E1475" s="95"/>
      <c r="F1475" s="95"/>
      <c r="G1475" s="95"/>
      <c r="H1475" s="95"/>
      <c r="I1475" s="95"/>
      <c r="J1475" s="95"/>
    </row>
    <row r="1476" spans="1:10" ht="15" x14ac:dyDescent="0.2">
      <c r="A1476" s="75" t="s">
        <v>464</v>
      </c>
      <c r="B1476" s="17" t="s">
        <v>11</v>
      </c>
      <c r="C1476" s="75" t="s">
        <v>12</v>
      </c>
      <c r="D1476" s="75" t="s">
        <v>2</v>
      </c>
      <c r="E1476" s="124" t="s">
        <v>779</v>
      </c>
      <c r="F1476" s="124"/>
      <c r="G1476" s="76" t="s">
        <v>3</v>
      </c>
      <c r="H1476" s="17" t="s">
        <v>4</v>
      </c>
      <c r="I1476" s="17" t="s">
        <v>13</v>
      </c>
      <c r="J1476" s="17" t="s">
        <v>17</v>
      </c>
    </row>
    <row r="1477" spans="1:10" ht="25.5" x14ac:dyDescent="0.2">
      <c r="A1477" s="19" t="s">
        <v>780</v>
      </c>
      <c r="B1477" s="20" t="s">
        <v>465</v>
      </c>
      <c r="C1477" s="19" t="s">
        <v>15</v>
      </c>
      <c r="D1477" s="19" t="s">
        <v>466</v>
      </c>
      <c r="E1477" s="125">
        <v>19.010000000000002</v>
      </c>
      <c r="F1477" s="125"/>
      <c r="G1477" s="21" t="s">
        <v>78</v>
      </c>
      <c r="H1477" s="86">
        <v>1</v>
      </c>
      <c r="I1477" s="82">
        <v>169.45</v>
      </c>
      <c r="J1477" s="82">
        <v>169.45</v>
      </c>
    </row>
    <row r="1478" spans="1:10" ht="38.25" x14ac:dyDescent="0.2">
      <c r="A1478" s="87" t="s">
        <v>781</v>
      </c>
      <c r="B1478" s="88" t="s">
        <v>1131</v>
      </c>
      <c r="C1478" s="87" t="s">
        <v>15</v>
      </c>
      <c r="D1478" s="87" t="s">
        <v>1132</v>
      </c>
      <c r="E1478" s="126" t="s">
        <v>784</v>
      </c>
      <c r="F1478" s="126"/>
      <c r="G1478" s="89" t="s">
        <v>785</v>
      </c>
      <c r="H1478" s="90">
        <v>0.27</v>
      </c>
      <c r="I1478" s="91">
        <v>27.08</v>
      </c>
      <c r="J1478" s="91">
        <v>7.31</v>
      </c>
    </row>
    <row r="1479" spans="1:10" ht="38.25" x14ac:dyDescent="0.2">
      <c r="A1479" s="87" t="s">
        <v>781</v>
      </c>
      <c r="B1479" s="88" t="s">
        <v>816</v>
      </c>
      <c r="C1479" s="87" t="s">
        <v>15</v>
      </c>
      <c r="D1479" s="87" t="s">
        <v>817</v>
      </c>
      <c r="E1479" s="126" t="s">
        <v>784</v>
      </c>
      <c r="F1479" s="126"/>
      <c r="G1479" s="89" t="s">
        <v>785</v>
      </c>
      <c r="H1479" s="90">
        <v>0.27</v>
      </c>
      <c r="I1479" s="91">
        <v>18.57</v>
      </c>
      <c r="J1479" s="91">
        <v>5.01</v>
      </c>
    </row>
    <row r="1480" spans="1:10" ht="38.25" x14ac:dyDescent="0.2">
      <c r="A1480" s="87" t="s">
        <v>781</v>
      </c>
      <c r="B1480" s="88" t="s">
        <v>1133</v>
      </c>
      <c r="C1480" s="87" t="s">
        <v>15</v>
      </c>
      <c r="D1480" s="87" t="s">
        <v>1134</v>
      </c>
      <c r="E1480" s="126" t="s">
        <v>794</v>
      </c>
      <c r="F1480" s="126"/>
      <c r="G1480" s="89" t="s">
        <v>134</v>
      </c>
      <c r="H1480" s="90">
        <v>1</v>
      </c>
      <c r="I1480" s="91">
        <v>3.85</v>
      </c>
      <c r="J1480" s="91">
        <v>3.85</v>
      </c>
    </row>
    <row r="1481" spans="1:10" ht="38.25" x14ac:dyDescent="0.2">
      <c r="A1481" s="87" t="s">
        <v>781</v>
      </c>
      <c r="B1481" s="88" t="s">
        <v>1282</v>
      </c>
      <c r="C1481" s="87" t="s">
        <v>15</v>
      </c>
      <c r="D1481" s="87" t="s">
        <v>1283</v>
      </c>
      <c r="E1481" s="126" t="s">
        <v>794</v>
      </c>
      <c r="F1481" s="126"/>
      <c r="G1481" s="89" t="s">
        <v>134</v>
      </c>
      <c r="H1481" s="90">
        <v>0.16200000000000001</v>
      </c>
      <c r="I1481" s="91">
        <v>7.06</v>
      </c>
      <c r="J1481" s="91">
        <v>1.1399999999999999</v>
      </c>
    </row>
    <row r="1482" spans="1:10" ht="38.25" x14ac:dyDescent="0.2">
      <c r="A1482" s="87" t="s">
        <v>781</v>
      </c>
      <c r="B1482" s="88" t="s">
        <v>1284</v>
      </c>
      <c r="C1482" s="87" t="s">
        <v>15</v>
      </c>
      <c r="D1482" s="87" t="s">
        <v>1285</v>
      </c>
      <c r="E1482" s="126" t="s">
        <v>794</v>
      </c>
      <c r="F1482" s="126"/>
      <c r="G1482" s="89" t="s">
        <v>78</v>
      </c>
      <c r="H1482" s="90">
        <v>1.05</v>
      </c>
      <c r="I1482" s="91">
        <v>144.9</v>
      </c>
      <c r="J1482" s="91">
        <v>152.13999999999999</v>
      </c>
    </row>
    <row r="1483" spans="1:10" ht="38.25" x14ac:dyDescent="0.2">
      <c r="A1483" s="92"/>
      <c r="B1483" s="92"/>
      <c r="C1483" s="92"/>
      <c r="D1483" s="92"/>
      <c r="E1483" s="92" t="s">
        <v>801</v>
      </c>
      <c r="F1483" s="93">
        <v>12.32</v>
      </c>
      <c r="G1483" s="92" t="s">
        <v>802</v>
      </c>
      <c r="H1483" s="93">
        <v>0</v>
      </c>
      <c r="I1483" s="92" t="s">
        <v>803</v>
      </c>
      <c r="J1483" s="93">
        <v>12.32</v>
      </c>
    </row>
    <row r="1484" spans="1:10" ht="38.25" x14ac:dyDescent="0.2">
      <c r="A1484" s="92"/>
      <c r="B1484" s="92"/>
      <c r="C1484" s="92"/>
      <c r="D1484" s="92"/>
      <c r="E1484" s="92" t="s">
        <v>804</v>
      </c>
      <c r="F1484" s="93">
        <v>48.83</v>
      </c>
      <c r="G1484" s="92"/>
      <c r="H1484" s="127" t="s">
        <v>805</v>
      </c>
      <c r="I1484" s="127"/>
      <c r="J1484" s="93">
        <v>218.28</v>
      </c>
    </row>
    <row r="1485" spans="1:10" ht="15" thickBot="1" x14ac:dyDescent="0.25">
      <c r="A1485" s="77"/>
      <c r="B1485" s="77"/>
      <c r="C1485" s="77"/>
      <c r="D1485" s="77"/>
      <c r="E1485" s="77"/>
      <c r="F1485" s="77"/>
      <c r="G1485" s="77" t="s">
        <v>806</v>
      </c>
      <c r="H1485" s="94">
        <v>1.76</v>
      </c>
      <c r="I1485" s="77" t="s">
        <v>807</v>
      </c>
      <c r="J1485" s="78">
        <v>384.17</v>
      </c>
    </row>
    <row r="1486" spans="1:10" ht="15" thickTop="1" x14ac:dyDescent="0.2">
      <c r="A1486" s="95"/>
      <c r="B1486" s="95"/>
      <c r="C1486" s="95"/>
      <c r="D1486" s="95"/>
      <c r="E1486" s="95"/>
      <c r="F1486" s="95"/>
      <c r="G1486" s="95"/>
      <c r="H1486" s="95"/>
      <c r="I1486" s="95"/>
      <c r="J1486" s="95"/>
    </row>
    <row r="1487" spans="1:10" x14ac:dyDescent="0.2">
      <c r="A1487" s="18" t="s">
        <v>467</v>
      </c>
      <c r="B1487" s="18"/>
      <c r="C1487" s="18"/>
      <c r="D1487" s="18" t="s">
        <v>468</v>
      </c>
      <c r="E1487" s="18"/>
      <c r="F1487" s="122"/>
      <c r="G1487" s="122"/>
      <c r="H1487" s="39"/>
      <c r="I1487" s="18"/>
      <c r="J1487" s="80">
        <v>5792.05</v>
      </c>
    </row>
    <row r="1488" spans="1:10" ht="15" x14ac:dyDescent="0.2">
      <c r="A1488" s="75" t="s">
        <v>469</v>
      </c>
      <c r="B1488" s="17" t="s">
        <v>11</v>
      </c>
      <c r="C1488" s="75" t="s">
        <v>12</v>
      </c>
      <c r="D1488" s="75" t="s">
        <v>2</v>
      </c>
      <c r="E1488" s="124" t="s">
        <v>779</v>
      </c>
      <c r="F1488" s="124"/>
      <c r="G1488" s="76" t="s">
        <v>3</v>
      </c>
      <c r="H1488" s="17" t="s">
        <v>4</v>
      </c>
      <c r="I1488" s="17" t="s">
        <v>13</v>
      </c>
      <c r="J1488" s="17" t="s">
        <v>17</v>
      </c>
    </row>
    <row r="1489" spans="1:10" ht="25.5" x14ac:dyDescent="0.2">
      <c r="A1489" s="19" t="s">
        <v>780</v>
      </c>
      <c r="B1489" s="20" t="s">
        <v>449</v>
      </c>
      <c r="C1489" s="19" t="s">
        <v>15</v>
      </c>
      <c r="D1489" s="19" t="s">
        <v>450</v>
      </c>
      <c r="E1489" s="125">
        <v>17.02</v>
      </c>
      <c r="F1489" s="125"/>
      <c r="G1489" s="21" t="s">
        <v>5</v>
      </c>
      <c r="H1489" s="86">
        <v>1</v>
      </c>
      <c r="I1489" s="82">
        <v>6.62</v>
      </c>
      <c r="J1489" s="82">
        <v>6.62</v>
      </c>
    </row>
    <row r="1490" spans="1:10" ht="38.25" x14ac:dyDescent="0.2">
      <c r="A1490" s="87" t="s">
        <v>781</v>
      </c>
      <c r="B1490" s="88" t="s">
        <v>832</v>
      </c>
      <c r="C1490" s="87" t="s">
        <v>15</v>
      </c>
      <c r="D1490" s="87" t="s">
        <v>833</v>
      </c>
      <c r="E1490" s="126" t="s">
        <v>784</v>
      </c>
      <c r="F1490" s="126"/>
      <c r="G1490" s="89" t="s">
        <v>785</v>
      </c>
      <c r="H1490" s="90">
        <v>0.1</v>
      </c>
      <c r="I1490" s="91">
        <v>22.61</v>
      </c>
      <c r="J1490" s="91">
        <v>2.2599999999999998</v>
      </c>
    </row>
    <row r="1491" spans="1:10" ht="38.25" x14ac:dyDescent="0.2">
      <c r="A1491" s="87" t="s">
        <v>781</v>
      </c>
      <c r="B1491" s="88" t="s">
        <v>816</v>
      </c>
      <c r="C1491" s="87" t="s">
        <v>15</v>
      </c>
      <c r="D1491" s="87" t="s">
        <v>817</v>
      </c>
      <c r="E1491" s="126" t="s">
        <v>784</v>
      </c>
      <c r="F1491" s="126"/>
      <c r="G1491" s="89" t="s">
        <v>785</v>
      </c>
      <c r="H1491" s="90">
        <v>0.1125</v>
      </c>
      <c r="I1491" s="91">
        <v>18.57</v>
      </c>
      <c r="J1491" s="91">
        <v>2.08</v>
      </c>
    </row>
    <row r="1492" spans="1:10" ht="38.25" x14ac:dyDescent="0.2">
      <c r="A1492" s="87" t="s">
        <v>781</v>
      </c>
      <c r="B1492" s="88" t="s">
        <v>911</v>
      </c>
      <c r="C1492" s="87" t="s">
        <v>15</v>
      </c>
      <c r="D1492" s="87" t="s">
        <v>912</v>
      </c>
      <c r="E1492" s="126" t="s">
        <v>794</v>
      </c>
      <c r="F1492" s="126"/>
      <c r="G1492" s="89" t="s">
        <v>50</v>
      </c>
      <c r="H1492" s="90">
        <v>5.1999999999999998E-3</v>
      </c>
      <c r="I1492" s="91">
        <v>167.7</v>
      </c>
      <c r="J1492" s="91">
        <v>0.87</v>
      </c>
    </row>
    <row r="1493" spans="1:10" ht="38.25" x14ac:dyDescent="0.2">
      <c r="A1493" s="87" t="s">
        <v>781</v>
      </c>
      <c r="B1493" s="88" t="s">
        <v>913</v>
      </c>
      <c r="C1493" s="87" t="s">
        <v>15</v>
      </c>
      <c r="D1493" s="87" t="s">
        <v>914</v>
      </c>
      <c r="E1493" s="126" t="s">
        <v>794</v>
      </c>
      <c r="F1493" s="126"/>
      <c r="G1493" s="89" t="s">
        <v>134</v>
      </c>
      <c r="H1493" s="90">
        <v>2.2650000000000001</v>
      </c>
      <c r="I1493" s="91">
        <v>0.6</v>
      </c>
      <c r="J1493" s="91">
        <v>1.35</v>
      </c>
    </row>
    <row r="1494" spans="1:10" ht="38.25" x14ac:dyDescent="0.2">
      <c r="A1494" s="87" t="s">
        <v>781</v>
      </c>
      <c r="B1494" s="88" t="s">
        <v>919</v>
      </c>
      <c r="C1494" s="87" t="s">
        <v>15</v>
      </c>
      <c r="D1494" s="87" t="s">
        <v>920</v>
      </c>
      <c r="E1494" s="126" t="s">
        <v>794</v>
      </c>
      <c r="F1494" s="126"/>
      <c r="G1494" s="89" t="s">
        <v>785</v>
      </c>
      <c r="H1494" s="90">
        <v>2.2000000000000001E-3</v>
      </c>
      <c r="I1494" s="91">
        <v>27.56</v>
      </c>
      <c r="J1494" s="91">
        <v>0.06</v>
      </c>
    </row>
    <row r="1495" spans="1:10" ht="38.25" x14ac:dyDescent="0.2">
      <c r="A1495" s="92"/>
      <c r="B1495" s="92"/>
      <c r="C1495" s="92"/>
      <c r="D1495" s="92"/>
      <c r="E1495" s="92" t="s">
        <v>801</v>
      </c>
      <c r="F1495" s="93">
        <v>4.34</v>
      </c>
      <c r="G1495" s="92" t="s">
        <v>802</v>
      </c>
      <c r="H1495" s="93">
        <v>0</v>
      </c>
      <c r="I1495" s="92" t="s">
        <v>803</v>
      </c>
      <c r="J1495" s="93">
        <v>4.34</v>
      </c>
    </row>
    <row r="1496" spans="1:10" ht="38.25" x14ac:dyDescent="0.2">
      <c r="A1496" s="92"/>
      <c r="B1496" s="92"/>
      <c r="C1496" s="92"/>
      <c r="D1496" s="92"/>
      <c r="E1496" s="92" t="s">
        <v>804</v>
      </c>
      <c r="F1496" s="93">
        <v>1.9</v>
      </c>
      <c r="G1496" s="92"/>
      <c r="H1496" s="127" t="s">
        <v>805</v>
      </c>
      <c r="I1496" s="127"/>
      <c r="J1496" s="93">
        <v>8.52</v>
      </c>
    </row>
    <row r="1497" spans="1:10" ht="15" thickBot="1" x14ac:dyDescent="0.25">
      <c r="A1497" s="77"/>
      <c r="B1497" s="77"/>
      <c r="C1497" s="77"/>
      <c r="D1497" s="77"/>
      <c r="E1497" s="77"/>
      <c r="F1497" s="77"/>
      <c r="G1497" s="77" t="s">
        <v>806</v>
      </c>
      <c r="H1497" s="94">
        <v>110.62</v>
      </c>
      <c r="I1497" s="77" t="s">
        <v>807</v>
      </c>
      <c r="J1497" s="78">
        <v>942.48</v>
      </c>
    </row>
    <row r="1498" spans="1:10" ht="15" thickTop="1" x14ac:dyDescent="0.2">
      <c r="A1498" s="95"/>
      <c r="B1498" s="95"/>
      <c r="C1498" s="95"/>
      <c r="D1498" s="95"/>
      <c r="E1498" s="95"/>
      <c r="F1498" s="95"/>
      <c r="G1498" s="95"/>
      <c r="H1498" s="95"/>
      <c r="I1498" s="95"/>
      <c r="J1498" s="95"/>
    </row>
    <row r="1499" spans="1:10" ht="15" x14ac:dyDescent="0.2">
      <c r="A1499" s="75" t="s">
        <v>470</v>
      </c>
      <c r="B1499" s="17" t="s">
        <v>11</v>
      </c>
      <c r="C1499" s="75" t="s">
        <v>12</v>
      </c>
      <c r="D1499" s="75" t="s">
        <v>2</v>
      </c>
      <c r="E1499" s="124" t="s">
        <v>779</v>
      </c>
      <c r="F1499" s="124"/>
      <c r="G1499" s="76" t="s">
        <v>3</v>
      </c>
      <c r="H1499" s="17" t="s">
        <v>4</v>
      </c>
      <c r="I1499" s="17" t="s">
        <v>13</v>
      </c>
      <c r="J1499" s="17" t="s">
        <v>17</v>
      </c>
    </row>
    <row r="1500" spans="1:10" ht="25.5" x14ac:dyDescent="0.2">
      <c r="A1500" s="19" t="s">
        <v>780</v>
      </c>
      <c r="B1500" s="20" t="s">
        <v>458</v>
      </c>
      <c r="C1500" s="19" t="s">
        <v>15</v>
      </c>
      <c r="D1500" s="19" t="s">
        <v>459</v>
      </c>
      <c r="E1500" s="125">
        <v>17.02</v>
      </c>
      <c r="F1500" s="125"/>
      <c r="G1500" s="21" t="s">
        <v>5</v>
      </c>
      <c r="H1500" s="86">
        <v>1</v>
      </c>
      <c r="I1500" s="82">
        <v>21.79</v>
      </c>
      <c r="J1500" s="82">
        <v>21.79</v>
      </c>
    </row>
    <row r="1501" spans="1:10" ht="38.25" x14ac:dyDescent="0.2">
      <c r="A1501" s="87" t="s">
        <v>781</v>
      </c>
      <c r="B1501" s="88" t="s">
        <v>832</v>
      </c>
      <c r="C1501" s="87" t="s">
        <v>15</v>
      </c>
      <c r="D1501" s="87" t="s">
        <v>833</v>
      </c>
      <c r="E1501" s="126" t="s">
        <v>784</v>
      </c>
      <c r="F1501" s="126"/>
      <c r="G1501" s="89" t="s">
        <v>785</v>
      </c>
      <c r="H1501" s="90">
        <v>0.2</v>
      </c>
      <c r="I1501" s="91">
        <v>22.61</v>
      </c>
      <c r="J1501" s="91">
        <v>4.5199999999999996</v>
      </c>
    </row>
    <row r="1502" spans="1:10" ht="38.25" x14ac:dyDescent="0.2">
      <c r="A1502" s="87" t="s">
        <v>781</v>
      </c>
      <c r="B1502" s="88" t="s">
        <v>816</v>
      </c>
      <c r="C1502" s="87" t="s">
        <v>15</v>
      </c>
      <c r="D1502" s="87" t="s">
        <v>817</v>
      </c>
      <c r="E1502" s="126" t="s">
        <v>784</v>
      </c>
      <c r="F1502" s="126"/>
      <c r="G1502" s="89" t="s">
        <v>785</v>
      </c>
      <c r="H1502" s="90">
        <v>0.4</v>
      </c>
      <c r="I1502" s="91">
        <v>18.57</v>
      </c>
      <c r="J1502" s="91">
        <v>7.42</v>
      </c>
    </row>
    <row r="1503" spans="1:10" ht="38.25" x14ac:dyDescent="0.2">
      <c r="A1503" s="87" t="s">
        <v>781</v>
      </c>
      <c r="B1503" s="88" t="s">
        <v>909</v>
      </c>
      <c r="C1503" s="87" t="s">
        <v>15</v>
      </c>
      <c r="D1503" s="87" t="s">
        <v>910</v>
      </c>
      <c r="E1503" s="126" t="s">
        <v>794</v>
      </c>
      <c r="F1503" s="126"/>
      <c r="G1503" s="89" t="s">
        <v>134</v>
      </c>
      <c r="H1503" s="90">
        <v>4.54</v>
      </c>
      <c r="I1503" s="91">
        <v>0.88</v>
      </c>
      <c r="J1503" s="91">
        <v>3.99</v>
      </c>
    </row>
    <row r="1504" spans="1:10" ht="38.25" x14ac:dyDescent="0.2">
      <c r="A1504" s="87" t="s">
        <v>781</v>
      </c>
      <c r="B1504" s="88" t="s">
        <v>911</v>
      </c>
      <c r="C1504" s="87" t="s">
        <v>15</v>
      </c>
      <c r="D1504" s="87" t="s">
        <v>912</v>
      </c>
      <c r="E1504" s="126" t="s">
        <v>794</v>
      </c>
      <c r="F1504" s="126"/>
      <c r="G1504" s="89" t="s">
        <v>50</v>
      </c>
      <c r="H1504" s="90">
        <v>2.5499999999999998E-2</v>
      </c>
      <c r="I1504" s="91">
        <v>167.7</v>
      </c>
      <c r="J1504" s="91">
        <v>4.2699999999999996</v>
      </c>
    </row>
    <row r="1505" spans="1:10" ht="38.25" x14ac:dyDescent="0.2">
      <c r="A1505" s="87" t="s">
        <v>781</v>
      </c>
      <c r="B1505" s="88" t="s">
        <v>913</v>
      </c>
      <c r="C1505" s="87" t="s">
        <v>15</v>
      </c>
      <c r="D1505" s="87" t="s">
        <v>914</v>
      </c>
      <c r="E1505" s="126" t="s">
        <v>794</v>
      </c>
      <c r="F1505" s="126"/>
      <c r="G1505" s="89" t="s">
        <v>134</v>
      </c>
      <c r="H1505" s="90">
        <v>2.2799999999999998</v>
      </c>
      <c r="I1505" s="91">
        <v>0.6</v>
      </c>
      <c r="J1505" s="91">
        <v>1.36</v>
      </c>
    </row>
    <row r="1506" spans="1:10" ht="38.25" x14ac:dyDescent="0.2">
      <c r="A1506" s="87" t="s">
        <v>781</v>
      </c>
      <c r="B1506" s="88" t="s">
        <v>919</v>
      </c>
      <c r="C1506" s="87" t="s">
        <v>15</v>
      </c>
      <c r="D1506" s="87" t="s">
        <v>920</v>
      </c>
      <c r="E1506" s="126" t="s">
        <v>794</v>
      </c>
      <c r="F1506" s="126"/>
      <c r="G1506" s="89" t="s">
        <v>785</v>
      </c>
      <c r="H1506" s="90">
        <v>8.6E-3</v>
      </c>
      <c r="I1506" s="91">
        <v>27.56</v>
      </c>
      <c r="J1506" s="91">
        <v>0.23</v>
      </c>
    </row>
    <row r="1507" spans="1:10" ht="38.25" x14ac:dyDescent="0.2">
      <c r="A1507" s="92"/>
      <c r="B1507" s="92"/>
      <c r="C1507" s="92"/>
      <c r="D1507" s="92"/>
      <c r="E1507" s="92" t="s">
        <v>801</v>
      </c>
      <c r="F1507" s="93">
        <v>11.94</v>
      </c>
      <c r="G1507" s="92" t="s">
        <v>802</v>
      </c>
      <c r="H1507" s="93">
        <v>0</v>
      </c>
      <c r="I1507" s="92" t="s">
        <v>803</v>
      </c>
      <c r="J1507" s="93">
        <v>11.94</v>
      </c>
    </row>
    <row r="1508" spans="1:10" ht="38.25" x14ac:dyDescent="0.2">
      <c r="A1508" s="92"/>
      <c r="B1508" s="92"/>
      <c r="C1508" s="92"/>
      <c r="D1508" s="92"/>
      <c r="E1508" s="92" t="s">
        <v>804</v>
      </c>
      <c r="F1508" s="93">
        <v>6.27</v>
      </c>
      <c r="G1508" s="92"/>
      <c r="H1508" s="127" t="s">
        <v>805</v>
      </c>
      <c r="I1508" s="127"/>
      <c r="J1508" s="93">
        <v>28.06</v>
      </c>
    </row>
    <row r="1509" spans="1:10" ht="15" thickBot="1" x14ac:dyDescent="0.25">
      <c r="A1509" s="77"/>
      <c r="B1509" s="77"/>
      <c r="C1509" s="77"/>
      <c r="D1509" s="77"/>
      <c r="E1509" s="77"/>
      <c r="F1509" s="77"/>
      <c r="G1509" s="77" t="s">
        <v>806</v>
      </c>
      <c r="H1509" s="94">
        <v>110.62</v>
      </c>
      <c r="I1509" s="77" t="s">
        <v>807</v>
      </c>
      <c r="J1509" s="78">
        <v>3103.99</v>
      </c>
    </row>
    <row r="1510" spans="1:10" ht="15" thickTop="1" x14ac:dyDescent="0.2">
      <c r="A1510" s="95"/>
      <c r="B1510" s="95"/>
      <c r="C1510" s="95"/>
      <c r="D1510" s="95"/>
      <c r="E1510" s="95"/>
      <c r="F1510" s="95"/>
      <c r="G1510" s="95"/>
      <c r="H1510" s="95"/>
      <c r="I1510" s="95"/>
      <c r="J1510" s="95"/>
    </row>
    <row r="1511" spans="1:10" ht="15" x14ac:dyDescent="0.2">
      <c r="A1511" s="75" t="s">
        <v>471</v>
      </c>
      <c r="B1511" s="17" t="s">
        <v>11</v>
      </c>
      <c r="C1511" s="75" t="s">
        <v>12</v>
      </c>
      <c r="D1511" s="75" t="s">
        <v>2</v>
      </c>
      <c r="E1511" s="124" t="s">
        <v>779</v>
      </c>
      <c r="F1511" s="124"/>
      <c r="G1511" s="76" t="s">
        <v>3</v>
      </c>
      <c r="H1511" s="17" t="s">
        <v>4</v>
      </c>
      <c r="I1511" s="17" t="s">
        <v>13</v>
      </c>
      <c r="J1511" s="17" t="s">
        <v>17</v>
      </c>
    </row>
    <row r="1512" spans="1:10" ht="25.5" x14ac:dyDescent="0.2">
      <c r="A1512" s="19" t="s">
        <v>780</v>
      </c>
      <c r="B1512" s="20" t="s">
        <v>452</v>
      </c>
      <c r="C1512" s="19" t="s">
        <v>15</v>
      </c>
      <c r="D1512" s="19" t="s">
        <v>453</v>
      </c>
      <c r="E1512" s="125">
        <v>17.02</v>
      </c>
      <c r="F1512" s="125"/>
      <c r="G1512" s="21" t="s">
        <v>5</v>
      </c>
      <c r="H1512" s="86">
        <v>1</v>
      </c>
      <c r="I1512" s="82">
        <v>12.25</v>
      </c>
      <c r="J1512" s="82">
        <v>12.25</v>
      </c>
    </row>
    <row r="1513" spans="1:10" ht="38.25" x14ac:dyDescent="0.2">
      <c r="A1513" s="87" t="s">
        <v>781</v>
      </c>
      <c r="B1513" s="88" t="s">
        <v>832</v>
      </c>
      <c r="C1513" s="87" t="s">
        <v>15</v>
      </c>
      <c r="D1513" s="87" t="s">
        <v>833</v>
      </c>
      <c r="E1513" s="126" t="s">
        <v>784</v>
      </c>
      <c r="F1513" s="126"/>
      <c r="G1513" s="89" t="s">
        <v>785</v>
      </c>
      <c r="H1513" s="90">
        <v>0.25</v>
      </c>
      <c r="I1513" s="91">
        <v>22.61</v>
      </c>
      <c r="J1513" s="91">
        <v>5.65</v>
      </c>
    </row>
    <row r="1514" spans="1:10" ht="38.25" x14ac:dyDescent="0.2">
      <c r="A1514" s="87" t="s">
        <v>781</v>
      </c>
      <c r="B1514" s="88" t="s">
        <v>816</v>
      </c>
      <c r="C1514" s="87" t="s">
        <v>15</v>
      </c>
      <c r="D1514" s="87" t="s">
        <v>817</v>
      </c>
      <c r="E1514" s="126" t="s">
        <v>784</v>
      </c>
      <c r="F1514" s="126"/>
      <c r="G1514" s="89" t="s">
        <v>785</v>
      </c>
      <c r="H1514" s="90">
        <v>0.25</v>
      </c>
      <c r="I1514" s="91">
        <v>18.57</v>
      </c>
      <c r="J1514" s="91">
        <v>4.6399999999999997</v>
      </c>
    </row>
    <row r="1515" spans="1:10" ht="38.25" x14ac:dyDescent="0.2">
      <c r="A1515" s="87" t="s">
        <v>781</v>
      </c>
      <c r="B1515" s="88" t="s">
        <v>909</v>
      </c>
      <c r="C1515" s="87" t="s">
        <v>15</v>
      </c>
      <c r="D1515" s="87" t="s">
        <v>910</v>
      </c>
      <c r="E1515" s="126" t="s">
        <v>794</v>
      </c>
      <c r="F1515" s="126"/>
      <c r="G1515" s="89" t="s">
        <v>134</v>
      </c>
      <c r="H1515" s="90">
        <v>1.0052000000000001</v>
      </c>
      <c r="I1515" s="91">
        <v>0.88</v>
      </c>
      <c r="J1515" s="91">
        <v>0.88</v>
      </c>
    </row>
    <row r="1516" spans="1:10" ht="38.25" x14ac:dyDescent="0.2">
      <c r="A1516" s="87" t="s">
        <v>781</v>
      </c>
      <c r="B1516" s="88" t="s">
        <v>911</v>
      </c>
      <c r="C1516" s="87" t="s">
        <v>15</v>
      </c>
      <c r="D1516" s="87" t="s">
        <v>912</v>
      </c>
      <c r="E1516" s="126" t="s">
        <v>794</v>
      </c>
      <c r="F1516" s="126"/>
      <c r="G1516" s="89" t="s">
        <v>50</v>
      </c>
      <c r="H1516" s="90">
        <v>4.3E-3</v>
      </c>
      <c r="I1516" s="91">
        <v>167.7</v>
      </c>
      <c r="J1516" s="91">
        <v>0.72</v>
      </c>
    </row>
    <row r="1517" spans="1:10" ht="38.25" x14ac:dyDescent="0.2">
      <c r="A1517" s="87" t="s">
        <v>781</v>
      </c>
      <c r="B1517" s="88" t="s">
        <v>913</v>
      </c>
      <c r="C1517" s="87" t="s">
        <v>15</v>
      </c>
      <c r="D1517" s="87" t="s">
        <v>914</v>
      </c>
      <c r="E1517" s="126" t="s">
        <v>794</v>
      </c>
      <c r="F1517" s="126"/>
      <c r="G1517" s="89" t="s">
        <v>134</v>
      </c>
      <c r="H1517" s="90">
        <v>0.50639999999999996</v>
      </c>
      <c r="I1517" s="91">
        <v>0.6</v>
      </c>
      <c r="J1517" s="91">
        <v>0.3</v>
      </c>
    </row>
    <row r="1518" spans="1:10" ht="38.25" x14ac:dyDescent="0.2">
      <c r="A1518" s="87" t="s">
        <v>781</v>
      </c>
      <c r="B1518" s="88" t="s">
        <v>919</v>
      </c>
      <c r="C1518" s="87" t="s">
        <v>15</v>
      </c>
      <c r="D1518" s="87" t="s">
        <v>920</v>
      </c>
      <c r="E1518" s="126" t="s">
        <v>794</v>
      </c>
      <c r="F1518" s="126"/>
      <c r="G1518" s="89" t="s">
        <v>785</v>
      </c>
      <c r="H1518" s="90">
        <v>2.2000000000000001E-3</v>
      </c>
      <c r="I1518" s="91">
        <v>27.56</v>
      </c>
      <c r="J1518" s="91">
        <v>0.06</v>
      </c>
    </row>
    <row r="1519" spans="1:10" ht="38.25" x14ac:dyDescent="0.2">
      <c r="A1519" s="92"/>
      <c r="B1519" s="92"/>
      <c r="C1519" s="92"/>
      <c r="D1519" s="92"/>
      <c r="E1519" s="92" t="s">
        <v>801</v>
      </c>
      <c r="F1519" s="93">
        <v>10.29</v>
      </c>
      <c r="G1519" s="92" t="s">
        <v>802</v>
      </c>
      <c r="H1519" s="93">
        <v>0</v>
      </c>
      <c r="I1519" s="92" t="s">
        <v>803</v>
      </c>
      <c r="J1519" s="93">
        <v>10.29</v>
      </c>
    </row>
    <row r="1520" spans="1:10" ht="38.25" x14ac:dyDescent="0.2">
      <c r="A1520" s="92"/>
      <c r="B1520" s="92"/>
      <c r="C1520" s="92"/>
      <c r="D1520" s="92"/>
      <c r="E1520" s="92" t="s">
        <v>804</v>
      </c>
      <c r="F1520" s="93">
        <v>3.53</v>
      </c>
      <c r="G1520" s="92"/>
      <c r="H1520" s="127" t="s">
        <v>805</v>
      </c>
      <c r="I1520" s="127"/>
      <c r="J1520" s="93">
        <v>15.78</v>
      </c>
    </row>
    <row r="1521" spans="1:10" ht="15" thickBot="1" x14ac:dyDescent="0.25">
      <c r="A1521" s="77"/>
      <c r="B1521" s="77"/>
      <c r="C1521" s="77"/>
      <c r="D1521" s="77"/>
      <c r="E1521" s="77"/>
      <c r="F1521" s="77"/>
      <c r="G1521" s="77" t="s">
        <v>806</v>
      </c>
      <c r="H1521" s="94">
        <v>110.62</v>
      </c>
      <c r="I1521" s="77" t="s">
        <v>807</v>
      </c>
      <c r="J1521" s="78">
        <v>1745.58</v>
      </c>
    </row>
    <row r="1522" spans="1:10" ht="15" thickTop="1" x14ac:dyDescent="0.2">
      <c r="A1522" s="95"/>
      <c r="B1522" s="95"/>
      <c r="C1522" s="95"/>
      <c r="D1522" s="95"/>
      <c r="E1522" s="95"/>
      <c r="F1522" s="95"/>
      <c r="G1522" s="95"/>
      <c r="H1522" s="95"/>
      <c r="I1522" s="95"/>
      <c r="J1522" s="95"/>
    </row>
    <row r="1523" spans="1:10" x14ac:dyDescent="0.2">
      <c r="A1523" s="18" t="s">
        <v>472</v>
      </c>
      <c r="B1523" s="18"/>
      <c r="C1523" s="18"/>
      <c r="D1523" s="18" t="s">
        <v>473</v>
      </c>
      <c r="E1523" s="18"/>
      <c r="F1523" s="122"/>
      <c r="G1523" s="122"/>
      <c r="H1523" s="39"/>
      <c r="I1523" s="18"/>
      <c r="J1523" s="80">
        <v>75337.960000000006</v>
      </c>
    </row>
    <row r="1524" spans="1:10" x14ac:dyDescent="0.2">
      <c r="A1524" s="18" t="s">
        <v>474</v>
      </c>
      <c r="B1524" s="18"/>
      <c r="C1524" s="18"/>
      <c r="D1524" s="18" t="s">
        <v>475</v>
      </c>
      <c r="E1524" s="18"/>
      <c r="F1524" s="122"/>
      <c r="G1524" s="122"/>
      <c r="H1524" s="39"/>
      <c r="I1524" s="18"/>
      <c r="J1524" s="80">
        <v>3735.26</v>
      </c>
    </row>
    <row r="1525" spans="1:10" ht="15" x14ac:dyDescent="0.2">
      <c r="A1525" s="75" t="s">
        <v>476</v>
      </c>
      <c r="B1525" s="17" t="s">
        <v>11</v>
      </c>
      <c r="C1525" s="75" t="s">
        <v>12</v>
      </c>
      <c r="D1525" s="75" t="s">
        <v>2</v>
      </c>
      <c r="E1525" s="124" t="s">
        <v>779</v>
      </c>
      <c r="F1525" s="124"/>
      <c r="G1525" s="76" t="s">
        <v>3</v>
      </c>
      <c r="H1525" s="17" t="s">
        <v>4</v>
      </c>
      <c r="I1525" s="17" t="s">
        <v>13</v>
      </c>
      <c r="J1525" s="17" t="s">
        <v>17</v>
      </c>
    </row>
    <row r="1526" spans="1:10" ht="51" x14ac:dyDescent="0.2">
      <c r="A1526" s="19" t="s">
        <v>780</v>
      </c>
      <c r="B1526" s="20" t="s">
        <v>477</v>
      </c>
      <c r="C1526" s="19" t="s">
        <v>31</v>
      </c>
      <c r="D1526" s="19" t="s">
        <v>478</v>
      </c>
      <c r="E1526" s="125" t="s">
        <v>1286</v>
      </c>
      <c r="F1526" s="125"/>
      <c r="G1526" s="21" t="s">
        <v>5</v>
      </c>
      <c r="H1526" s="86">
        <v>1</v>
      </c>
      <c r="I1526" s="82">
        <v>43.48</v>
      </c>
      <c r="J1526" s="82">
        <v>43.48</v>
      </c>
    </row>
    <row r="1527" spans="1:10" ht="38.25" x14ac:dyDescent="0.2">
      <c r="A1527" s="96" t="s">
        <v>880</v>
      </c>
      <c r="B1527" s="97" t="s">
        <v>1287</v>
      </c>
      <c r="C1527" s="96" t="s">
        <v>31</v>
      </c>
      <c r="D1527" s="96" t="s">
        <v>1288</v>
      </c>
      <c r="E1527" s="128" t="s">
        <v>1289</v>
      </c>
      <c r="F1527" s="128"/>
      <c r="G1527" s="98" t="s">
        <v>50</v>
      </c>
      <c r="H1527" s="99">
        <v>6.0699999999999997E-2</v>
      </c>
      <c r="I1527" s="100">
        <v>504.57</v>
      </c>
      <c r="J1527" s="100">
        <v>30.62</v>
      </c>
    </row>
    <row r="1528" spans="1:10" ht="38.25" x14ac:dyDescent="0.2">
      <c r="A1528" s="96" t="s">
        <v>880</v>
      </c>
      <c r="B1528" s="97" t="s">
        <v>888</v>
      </c>
      <c r="C1528" s="96" t="s">
        <v>31</v>
      </c>
      <c r="D1528" s="96" t="s">
        <v>889</v>
      </c>
      <c r="E1528" s="128" t="s">
        <v>890</v>
      </c>
      <c r="F1528" s="128"/>
      <c r="G1528" s="98" t="s">
        <v>785</v>
      </c>
      <c r="H1528" s="99">
        <v>0.28499999999999998</v>
      </c>
      <c r="I1528" s="100">
        <v>31.42</v>
      </c>
      <c r="J1528" s="100">
        <v>8.9499999999999993</v>
      </c>
    </row>
    <row r="1529" spans="1:10" ht="38.25" x14ac:dyDescent="0.2">
      <c r="A1529" s="96" t="s">
        <v>880</v>
      </c>
      <c r="B1529" s="97" t="s">
        <v>891</v>
      </c>
      <c r="C1529" s="96" t="s">
        <v>31</v>
      </c>
      <c r="D1529" s="96" t="s">
        <v>892</v>
      </c>
      <c r="E1529" s="128" t="s">
        <v>890</v>
      </c>
      <c r="F1529" s="128"/>
      <c r="G1529" s="98" t="s">
        <v>785</v>
      </c>
      <c r="H1529" s="99">
        <v>0.14199999999999999</v>
      </c>
      <c r="I1529" s="100">
        <v>27.55</v>
      </c>
      <c r="J1529" s="100">
        <v>3.91</v>
      </c>
    </row>
    <row r="1530" spans="1:10" ht="38.25" x14ac:dyDescent="0.2">
      <c r="A1530" s="92"/>
      <c r="B1530" s="92"/>
      <c r="C1530" s="92"/>
      <c r="D1530" s="92"/>
      <c r="E1530" s="92" t="s">
        <v>801</v>
      </c>
      <c r="F1530" s="93">
        <v>14.56</v>
      </c>
      <c r="G1530" s="92" t="s">
        <v>802</v>
      </c>
      <c r="H1530" s="93">
        <v>0</v>
      </c>
      <c r="I1530" s="92" t="s">
        <v>803</v>
      </c>
      <c r="J1530" s="93">
        <v>14.56</v>
      </c>
    </row>
    <row r="1531" spans="1:10" ht="38.25" x14ac:dyDescent="0.2">
      <c r="A1531" s="92"/>
      <c r="B1531" s="92"/>
      <c r="C1531" s="92"/>
      <c r="D1531" s="92"/>
      <c r="E1531" s="92" t="s">
        <v>804</v>
      </c>
      <c r="F1531" s="93">
        <v>12.53</v>
      </c>
      <c r="G1531" s="92"/>
      <c r="H1531" s="127" t="s">
        <v>805</v>
      </c>
      <c r="I1531" s="127"/>
      <c r="J1531" s="93">
        <v>56.01</v>
      </c>
    </row>
    <row r="1532" spans="1:10" ht="15" thickBot="1" x14ac:dyDescent="0.25">
      <c r="A1532" s="77"/>
      <c r="B1532" s="77"/>
      <c r="C1532" s="77"/>
      <c r="D1532" s="77"/>
      <c r="E1532" s="77"/>
      <c r="F1532" s="77"/>
      <c r="G1532" s="77" t="s">
        <v>806</v>
      </c>
      <c r="H1532" s="94">
        <v>9.5</v>
      </c>
      <c r="I1532" s="77" t="s">
        <v>807</v>
      </c>
      <c r="J1532" s="78">
        <v>532.09</v>
      </c>
    </row>
    <row r="1533" spans="1:10" ht="15" thickTop="1" x14ac:dyDescent="0.2">
      <c r="A1533" s="95"/>
      <c r="B1533" s="95"/>
      <c r="C1533" s="95"/>
      <c r="D1533" s="95"/>
      <c r="E1533" s="95"/>
      <c r="F1533" s="95"/>
      <c r="G1533" s="95"/>
      <c r="H1533" s="95"/>
      <c r="I1533" s="95"/>
      <c r="J1533" s="95"/>
    </row>
    <row r="1534" spans="1:10" ht="15" x14ac:dyDescent="0.2">
      <c r="A1534" s="75" t="s">
        <v>479</v>
      </c>
      <c r="B1534" s="17" t="s">
        <v>11</v>
      </c>
      <c r="C1534" s="75" t="s">
        <v>12</v>
      </c>
      <c r="D1534" s="75" t="s">
        <v>2</v>
      </c>
      <c r="E1534" s="124" t="s">
        <v>779</v>
      </c>
      <c r="F1534" s="124"/>
      <c r="G1534" s="76" t="s">
        <v>3</v>
      </c>
      <c r="H1534" s="17" t="s">
        <v>4</v>
      </c>
      <c r="I1534" s="17" t="s">
        <v>13</v>
      </c>
      <c r="J1534" s="17" t="s">
        <v>17</v>
      </c>
    </row>
    <row r="1535" spans="1:10" ht="25.5" x14ac:dyDescent="0.2">
      <c r="A1535" s="19" t="s">
        <v>780</v>
      </c>
      <c r="B1535" s="20" t="s">
        <v>480</v>
      </c>
      <c r="C1535" s="19" t="s">
        <v>15</v>
      </c>
      <c r="D1535" s="19" t="s">
        <v>481</v>
      </c>
      <c r="E1535" s="125">
        <v>17.010000000000002</v>
      </c>
      <c r="F1535" s="125"/>
      <c r="G1535" s="21" t="s">
        <v>5</v>
      </c>
      <c r="H1535" s="86">
        <v>1</v>
      </c>
      <c r="I1535" s="82">
        <v>26.77</v>
      </c>
      <c r="J1535" s="82">
        <v>26.77</v>
      </c>
    </row>
    <row r="1536" spans="1:10" ht="38.25" x14ac:dyDescent="0.2">
      <c r="A1536" s="87" t="s">
        <v>781</v>
      </c>
      <c r="B1536" s="88" t="s">
        <v>832</v>
      </c>
      <c r="C1536" s="87" t="s">
        <v>15</v>
      </c>
      <c r="D1536" s="87" t="s">
        <v>833</v>
      </c>
      <c r="E1536" s="126" t="s">
        <v>784</v>
      </c>
      <c r="F1536" s="126"/>
      <c r="G1536" s="89" t="s">
        <v>785</v>
      </c>
      <c r="H1536" s="90">
        <v>0.6</v>
      </c>
      <c r="I1536" s="91">
        <v>22.61</v>
      </c>
      <c r="J1536" s="91">
        <v>13.56</v>
      </c>
    </row>
    <row r="1537" spans="1:10" ht="38.25" x14ac:dyDescent="0.2">
      <c r="A1537" s="87" t="s">
        <v>781</v>
      </c>
      <c r="B1537" s="88" t="s">
        <v>816</v>
      </c>
      <c r="C1537" s="87" t="s">
        <v>15</v>
      </c>
      <c r="D1537" s="87" t="s">
        <v>817</v>
      </c>
      <c r="E1537" s="126" t="s">
        <v>784</v>
      </c>
      <c r="F1537" s="126"/>
      <c r="G1537" s="89" t="s">
        <v>785</v>
      </c>
      <c r="H1537" s="90">
        <v>0.5</v>
      </c>
      <c r="I1537" s="91">
        <v>18.57</v>
      </c>
      <c r="J1537" s="91">
        <v>9.2799999999999994</v>
      </c>
    </row>
    <row r="1538" spans="1:10" ht="38.25" x14ac:dyDescent="0.2">
      <c r="A1538" s="87" t="s">
        <v>781</v>
      </c>
      <c r="B1538" s="88" t="s">
        <v>911</v>
      </c>
      <c r="C1538" s="87" t="s">
        <v>15</v>
      </c>
      <c r="D1538" s="87" t="s">
        <v>912</v>
      </c>
      <c r="E1538" s="126" t="s">
        <v>794</v>
      </c>
      <c r="F1538" s="126"/>
      <c r="G1538" s="89" t="s">
        <v>50</v>
      </c>
      <c r="H1538" s="90">
        <v>1.3299999999999999E-2</v>
      </c>
      <c r="I1538" s="91">
        <v>167.7</v>
      </c>
      <c r="J1538" s="91">
        <v>2.23</v>
      </c>
    </row>
    <row r="1539" spans="1:10" ht="38.25" x14ac:dyDescent="0.2">
      <c r="A1539" s="87" t="s">
        <v>781</v>
      </c>
      <c r="B1539" s="88" t="s">
        <v>913</v>
      </c>
      <c r="C1539" s="87" t="s">
        <v>15</v>
      </c>
      <c r="D1539" s="87" t="s">
        <v>914</v>
      </c>
      <c r="E1539" s="126" t="s">
        <v>794</v>
      </c>
      <c r="F1539" s="126"/>
      <c r="G1539" s="89" t="s">
        <v>134</v>
      </c>
      <c r="H1539" s="90">
        <v>2.84</v>
      </c>
      <c r="I1539" s="91">
        <v>0.6</v>
      </c>
      <c r="J1539" s="91">
        <v>1.7</v>
      </c>
    </row>
    <row r="1540" spans="1:10" ht="38.25" x14ac:dyDescent="0.2">
      <c r="A1540" s="92"/>
      <c r="B1540" s="92"/>
      <c r="C1540" s="92"/>
      <c r="D1540" s="92"/>
      <c r="E1540" s="92" t="s">
        <v>801</v>
      </c>
      <c r="F1540" s="93">
        <v>22.84</v>
      </c>
      <c r="G1540" s="92" t="s">
        <v>802</v>
      </c>
      <c r="H1540" s="93">
        <v>0</v>
      </c>
      <c r="I1540" s="92" t="s">
        <v>803</v>
      </c>
      <c r="J1540" s="93">
        <v>22.84</v>
      </c>
    </row>
    <row r="1541" spans="1:10" ht="38.25" x14ac:dyDescent="0.2">
      <c r="A1541" s="92"/>
      <c r="B1541" s="92"/>
      <c r="C1541" s="92"/>
      <c r="D1541" s="92"/>
      <c r="E1541" s="92" t="s">
        <v>804</v>
      </c>
      <c r="F1541" s="93">
        <v>7.71</v>
      </c>
      <c r="G1541" s="92"/>
      <c r="H1541" s="127" t="s">
        <v>805</v>
      </c>
      <c r="I1541" s="127"/>
      <c r="J1541" s="93">
        <v>34.479999999999997</v>
      </c>
    </row>
    <row r="1542" spans="1:10" ht="15" thickBot="1" x14ac:dyDescent="0.25">
      <c r="A1542" s="77"/>
      <c r="B1542" s="77"/>
      <c r="C1542" s="77"/>
      <c r="D1542" s="77"/>
      <c r="E1542" s="77"/>
      <c r="F1542" s="77"/>
      <c r="G1542" s="77" t="s">
        <v>806</v>
      </c>
      <c r="H1542" s="94">
        <v>9.5</v>
      </c>
      <c r="I1542" s="77" t="s">
        <v>807</v>
      </c>
      <c r="J1542" s="78">
        <v>327.56</v>
      </c>
    </row>
    <row r="1543" spans="1:10" ht="15" thickTop="1" x14ac:dyDescent="0.2">
      <c r="A1543" s="95"/>
      <c r="B1543" s="95"/>
      <c r="C1543" s="95"/>
      <c r="D1543" s="95"/>
      <c r="E1543" s="95"/>
      <c r="F1543" s="95"/>
      <c r="G1543" s="95"/>
      <c r="H1543" s="95"/>
      <c r="I1543" s="95"/>
      <c r="J1543" s="95"/>
    </row>
    <row r="1544" spans="1:10" ht="15" x14ac:dyDescent="0.2">
      <c r="A1544" s="75" t="s">
        <v>482</v>
      </c>
      <c r="B1544" s="17" t="s">
        <v>11</v>
      </c>
      <c r="C1544" s="75" t="s">
        <v>12</v>
      </c>
      <c r="D1544" s="75" t="s">
        <v>2</v>
      </c>
      <c r="E1544" s="124" t="s">
        <v>779</v>
      </c>
      <c r="F1544" s="124"/>
      <c r="G1544" s="76" t="s">
        <v>3</v>
      </c>
      <c r="H1544" s="17" t="s">
        <v>4</v>
      </c>
      <c r="I1544" s="17" t="s">
        <v>13</v>
      </c>
      <c r="J1544" s="17" t="s">
        <v>17</v>
      </c>
    </row>
    <row r="1545" spans="1:10" ht="25.5" x14ac:dyDescent="0.2">
      <c r="A1545" s="19" t="s">
        <v>780</v>
      </c>
      <c r="B1545" s="20" t="s">
        <v>483</v>
      </c>
      <c r="C1545" s="19" t="s">
        <v>15</v>
      </c>
      <c r="D1545" s="19" t="s">
        <v>484</v>
      </c>
      <c r="E1545" s="125">
        <v>10.02</v>
      </c>
      <c r="F1545" s="125"/>
      <c r="G1545" s="21" t="s">
        <v>134</v>
      </c>
      <c r="H1545" s="86">
        <v>1</v>
      </c>
      <c r="I1545" s="82">
        <v>10.36</v>
      </c>
      <c r="J1545" s="82">
        <v>10.36</v>
      </c>
    </row>
    <row r="1546" spans="1:10" ht="38.25" x14ac:dyDescent="0.2">
      <c r="A1546" s="87" t="s">
        <v>781</v>
      </c>
      <c r="B1546" s="88" t="s">
        <v>865</v>
      </c>
      <c r="C1546" s="87" t="s">
        <v>15</v>
      </c>
      <c r="D1546" s="87" t="s">
        <v>866</v>
      </c>
      <c r="E1546" s="126" t="s">
        <v>784</v>
      </c>
      <c r="F1546" s="126"/>
      <c r="G1546" s="89" t="s">
        <v>785</v>
      </c>
      <c r="H1546" s="90">
        <v>0.04</v>
      </c>
      <c r="I1546" s="91">
        <v>18.57</v>
      </c>
      <c r="J1546" s="91">
        <v>0.74</v>
      </c>
    </row>
    <row r="1547" spans="1:10" ht="38.25" x14ac:dyDescent="0.2">
      <c r="A1547" s="87" t="s">
        <v>781</v>
      </c>
      <c r="B1547" s="88" t="s">
        <v>867</v>
      </c>
      <c r="C1547" s="87" t="s">
        <v>15</v>
      </c>
      <c r="D1547" s="87" t="s">
        <v>868</v>
      </c>
      <c r="E1547" s="126" t="s">
        <v>784</v>
      </c>
      <c r="F1547" s="126"/>
      <c r="G1547" s="89" t="s">
        <v>785</v>
      </c>
      <c r="H1547" s="90">
        <v>0.02</v>
      </c>
      <c r="I1547" s="91">
        <v>22.61</v>
      </c>
      <c r="J1547" s="91">
        <v>0.45</v>
      </c>
    </row>
    <row r="1548" spans="1:10" ht="38.25" x14ac:dyDescent="0.2">
      <c r="A1548" s="87" t="s">
        <v>781</v>
      </c>
      <c r="B1548" s="88" t="s">
        <v>1290</v>
      </c>
      <c r="C1548" s="87" t="s">
        <v>15</v>
      </c>
      <c r="D1548" s="87" t="s">
        <v>1291</v>
      </c>
      <c r="E1548" s="126" t="s">
        <v>794</v>
      </c>
      <c r="F1548" s="126"/>
      <c r="G1548" s="89" t="s">
        <v>134</v>
      </c>
      <c r="H1548" s="90">
        <v>1.1000000000000001</v>
      </c>
      <c r="I1548" s="91">
        <v>8.27</v>
      </c>
      <c r="J1548" s="91">
        <v>9.09</v>
      </c>
    </row>
    <row r="1549" spans="1:10" ht="38.25" x14ac:dyDescent="0.2">
      <c r="A1549" s="87" t="s">
        <v>781</v>
      </c>
      <c r="B1549" s="88" t="s">
        <v>875</v>
      </c>
      <c r="C1549" s="87" t="s">
        <v>15</v>
      </c>
      <c r="D1549" s="87" t="s">
        <v>876</v>
      </c>
      <c r="E1549" s="126" t="s">
        <v>794</v>
      </c>
      <c r="F1549" s="126"/>
      <c r="G1549" s="89" t="s">
        <v>134</v>
      </c>
      <c r="H1549" s="90">
        <v>6.4999999999999997E-3</v>
      </c>
      <c r="I1549" s="91">
        <v>13.7</v>
      </c>
      <c r="J1549" s="91">
        <v>0.08</v>
      </c>
    </row>
    <row r="1550" spans="1:10" ht="38.25" x14ac:dyDescent="0.2">
      <c r="A1550" s="92"/>
      <c r="B1550" s="92"/>
      <c r="C1550" s="92"/>
      <c r="D1550" s="92"/>
      <c r="E1550" s="92" t="s">
        <v>801</v>
      </c>
      <c r="F1550" s="93">
        <v>1.19</v>
      </c>
      <c r="G1550" s="92" t="s">
        <v>802</v>
      </c>
      <c r="H1550" s="93">
        <v>0</v>
      </c>
      <c r="I1550" s="92" t="s">
        <v>803</v>
      </c>
      <c r="J1550" s="93">
        <v>1.19</v>
      </c>
    </row>
    <row r="1551" spans="1:10" ht="38.25" x14ac:dyDescent="0.2">
      <c r="A1551" s="92"/>
      <c r="B1551" s="92"/>
      <c r="C1551" s="92"/>
      <c r="D1551" s="92"/>
      <c r="E1551" s="92" t="s">
        <v>804</v>
      </c>
      <c r="F1551" s="93">
        <v>2.98</v>
      </c>
      <c r="G1551" s="92"/>
      <c r="H1551" s="127" t="s">
        <v>805</v>
      </c>
      <c r="I1551" s="127"/>
      <c r="J1551" s="93">
        <v>13.34</v>
      </c>
    </row>
    <row r="1552" spans="1:10" ht="15" thickBot="1" x14ac:dyDescent="0.25">
      <c r="A1552" s="77"/>
      <c r="B1552" s="77"/>
      <c r="C1552" s="77"/>
      <c r="D1552" s="77"/>
      <c r="E1552" s="77"/>
      <c r="F1552" s="77"/>
      <c r="G1552" s="77" t="s">
        <v>806</v>
      </c>
      <c r="H1552" s="94">
        <v>9.2200000000000006</v>
      </c>
      <c r="I1552" s="77" t="s">
        <v>807</v>
      </c>
      <c r="J1552" s="78">
        <v>122.99</v>
      </c>
    </row>
    <row r="1553" spans="1:10" ht="15" thickTop="1" x14ac:dyDescent="0.2">
      <c r="A1553" s="95"/>
      <c r="B1553" s="95"/>
      <c r="C1553" s="95"/>
      <c r="D1553" s="95"/>
      <c r="E1553" s="95"/>
      <c r="F1553" s="95"/>
      <c r="G1553" s="95"/>
      <c r="H1553" s="95"/>
      <c r="I1553" s="95"/>
      <c r="J1553" s="95"/>
    </row>
    <row r="1554" spans="1:10" ht="15" x14ac:dyDescent="0.2">
      <c r="A1554" s="75" t="s">
        <v>485</v>
      </c>
      <c r="B1554" s="17" t="s">
        <v>11</v>
      </c>
      <c r="C1554" s="75" t="s">
        <v>12</v>
      </c>
      <c r="D1554" s="75" t="s">
        <v>2</v>
      </c>
      <c r="E1554" s="124" t="s">
        <v>779</v>
      </c>
      <c r="F1554" s="124"/>
      <c r="G1554" s="76" t="s">
        <v>3</v>
      </c>
      <c r="H1554" s="17" t="s">
        <v>4</v>
      </c>
      <c r="I1554" s="17" t="s">
        <v>13</v>
      </c>
      <c r="J1554" s="17" t="s">
        <v>17</v>
      </c>
    </row>
    <row r="1555" spans="1:10" ht="38.25" x14ac:dyDescent="0.2">
      <c r="A1555" s="19" t="s">
        <v>780</v>
      </c>
      <c r="B1555" s="20" t="s">
        <v>462</v>
      </c>
      <c r="C1555" s="19" t="s">
        <v>15</v>
      </c>
      <c r="D1555" s="19" t="s">
        <v>463</v>
      </c>
      <c r="E1555" s="125">
        <v>18.079999999999998</v>
      </c>
      <c r="F1555" s="125"/>
      <c r="G1555" s="21" t="s">
        <v>5</v>
      </c>
      <c r="H1555" s="86">
        <v>1</v>
      </c>
      <c r="I1555" s="82">
        <v>133.25</v>
      </c>
      <c r="J1555" s="82">
        <v>133.25</v>
      </c>
    </row>
    <row r="1556" spans="1:10" ht="38.25" x14ac:dyDescent="0.2">
      <c r="A1556" s="87" t="s">
        <v>781</v>
      </c>
      <c r="B1556" s="88" t="s">
        <v>832</v>
      </c>
      <c r="C1556" s="87" t="s">
        <v>15</v>
      </c>
      <c r="D1556" s="87" t="s">
        <v>833</v>
      </c>
      <c r="E1556" s="126" t="s">
        <v>784</v>
      </c>
      <c r="F1556" s="126"/>
      <c r="G1556" s="89" t="s">
        <v>785</v>
      </c>
      <c r="H1556" s="90">
        <v>0.9</v>
      </c>
      <c r="I1556" s="91">
        <v>22.61</v>
      </c>
      <c r="J1556" s="91">
        <v>20.34</v>
      </c>
    </row>
    <row r="1557" spans="1:10" ht="38.25" x14ac:dyDescent="0.2">
      <c r="A1557" s="87" t="s">
        <v>781</v>
      </c>
      <c r="B1557" s="88" t="s">
        <v>816</v>
      </c>
      <c r="C1557" s="87" t="s">
        <v>15</v>
      </c>
      <c r="D1557" s="87" t="s">
        <v>817</v>
      </c>
      <c r="E1557" s="126" t="s">
        <v>784</v>
      </c>
      <c r="F1557" s="126"/>
      <c r="G1557" s="89" t="s">
        <v>785</v>
      </c>
      <c r="H1557" s="90">
        <v>0.9</v>
      </c>
      <c r="I1557" s="91">
        <v>18.57</v>
      </c>
      <c r="J1557" s="91">
        <v>16.71</v>
      </c>
    </row>
    <row r="1558" spans="1:10" ht="38.25" x14ac:dyDescent="0.2">
      <c r="A1558" s="87" t="s">
        <v>781</v>
      </c>
      <c r="B1558" s="88" t="s">
        <v>1276</v>
      </c>
      <c r="C1558" s="87" t="s">
        <v>15</v>
      </c>
      <c r="D1558" s="87" t="s">
        <v>1277</v>
      </c>
      <c r="E1558" s="126" t="s">
        <v>794</v>
      </c>
      <c r="F1558" s="126"/>
      <c r="G1558" s="89" t="s">
        <v>134</v>
      </c>
      <c r="H1558" s="90">
        <v>5</v>
      </c>
      <c r="I1558" s="91">
        <v>1.67</v>
      </c>
      <c r="J1558" s="91">
        <v>8.35</v>
      </c>
    </row>
    <row r="1559" spans="1:10" ht="38.25" x14ac:dyDescent="0.2">
      <c r="A1559" s="87" t="s">
        <v>781</v>
      </c>
      <c r="B1559" s="88" t="s">
        <v>1278</v>
      </c>
      <c r="C1559" s="87" t="s">
        <v>15</v>
      </c>
      <c r="D1559" s="87" t="s">
        <v>1279</v>
      </c>
      <c r="E1559" s="126" t="s">
        <v>794</v>
      </c>
      <c r="F1559" s="126"/>
      <c r="G1559" s="89" t="s">
        <v>134</v>
      </c>
      <c r="H1559" s="90">
        <v>0.21</v>
      </c>
      <c r="I1559" s="91">
        <v>7.45</v>
      </c>
      <c r="J1559" s="91">
        <v>1.56</v>
      </c>
    </row>
    <row r="1560" spans="1:10" ht="38.25" x14ac:dyDescent="0.2">
      <c r="A1560" s="87" t="s">
        <v>781</v>
      </c>
      <c r="B1560" s="88" t="s">
        <v>1280</v>
      </c>
      <c r="C1560" s="87" t="s">
        <v>15</v>
      </c>
      <c r="D1560" s="87" t="s">
        <v>1281</v>
      </c>
      <c r="E1560" s="126" t="s">
        <v>794</v>
      </c>
      <c r="F1560" s="126"/>
      <c r="G1560" s="89" t="s">
        <v>5</v>
      </c>
      <c r="H1560" s="90">
        <v>1.08</v>
      </c>
      <c r="I1560" s="91">
        <v>79.900000000000006</v>
      </c>
      <c r="J1560" s="91">
        <v>86.29</v>
      </c>
    </row>
    <row r="1561" spans="1:10" ht="38.25" x14ac:dyDescent="0.2">
      <c r="A1561" s="92"/>
      <c r="B1561" s="92"/>
      <c r="C1561" s="92"/>
      <c r="D1561" s="92"/>
      <c r="E1561" s="92" t="s">
        <v>801</v>
      </c>
      <c r="F1561" s="93">
        <v>37.049999999999997</v>
      </c>
      <c r="G1561" s="92" t="s">
        <v>802</v>
      </c>
      <c r="H1561" s="93">
        <v>0</v>
      </c>
      <c r="I1561" s="92" t="s">
        <v>803</v>
      </c>
      <c r="J1561" s="93">
        <v>37.049999999999997</v>
      </c>
    </row>
    <row r="1562" spans="1:10" ht="38.25" x14ac:dyDescent="0.2">
      <c r="A1562" s="92"/>
      <c r="B1562" s="92"/>
      <c r="C1562" s="92"/>
      <c r="D1562" s="92"/>
      <c r="E1562" s="92" t="s">
        <v>804</v>
      </c>
      <c r="F1562" s="93">
        <v>38.4</v>
      </c>
      <c r="G1562" s="92"/>
      <c r="H1562" s="127" t="s">
        <v>805</v>
      </c>
      <c r="I1562" s="127"/>
      <c r="J1562" s="93">
        <v>171.65</v>
      </c>
    </row>
    <row r="1563" spans="1:10" ht="15" thickBot="1" x14ac:dyDescent="0.25">
      <c r="A1563" s="77"/>
      <c r="B1563" s="77"/>
      <c r="C1563" s="77"/>
      <c r="D1563" s="77"/>
      <c r="E1563" s="77"/>
      <c r="F1563" s="77"/>
      <c r="G1563" s="77" t="s">
        <v>806</v>
      </c>
      <c r="H1563" s="94">
        <v>9.5</v>
      </c>
      <c r="I1563" s="77" t="s">
        <v>807</v>
      </c>
      <c r="J1563" s="78">
        <v>1630.67</v>
      </c>
    </row>
    <row r="1564" spans="1:10" ht="15" thickTop="1" x14ac:dyDescent="0.2">
      <c r="A1564" s="95"/>
      <c r="B1564" s="95"/>
      <c r="C1564" s="95"/>
      <c r="D1564" s="95"/>
      <c r="E1564" s="95"/>
      <c r="F1564" s="95"/>
      <c r="G1564" s="95"/>
      <c r="H1564" s="95"/>
      <c r="I1564" s="95"/>
      <c r="J1564" s="95"/>
    </row>
    <row r="1565" spans="1:10" ht="15" x14ac:dyDescent="0.2">
      <c r="A1565" s="75" t="s">
        <v>486</v>
      </c>
      <c r="B1565" s="17" t="s">
        <v>11</v>
      </c>
      <c r="C1565" s="75" t="s">
        <v>12</v>
      </c>
      <c r="D1565" s="75" t="s">
        <v>2</v>
      </c>
      <c r="E1565" s="124" t="s">
        <v>779</v>
      </c>
      <c r="F1565" s="124"/>
      <c r="G1565" s="76" t="s">
        <v>3</v>
      </c>
      <c r="H1565" s="17" t="s">
        <v>4</v>
      </c>
      <c r="I1565" s="17" t="s">
        <v>13</v>
      </c>
      <c r="J1565" s="17" t="s">
        <v>17</v>
      </c>
    </row>
    <row r="1566" spans="1:10" ht="25.5" x14ac:dyDescent="0.2">
      <c r="A1566" s="19" t="s">
        <v>780</v>
      </c>
      <c r="B1566" s="20" t="s">
        <v>465</v>
      </c>
      <c r="C1566" s="19" t="s">
        <v>15</v>
      </c>
      <c r="D1566" s="19" t="s">
        <v>466</v>
      </c>
      <c r="E1566" s="125">
        <v>19.010000000000002</v>
      </c>
      <c r="F1566" s="125"/>
      <c r="G1566" s="21" t="s">
        <v>78</v>
      </c>
      <c r="H1566" s="86">
        <v>1</v>
      </c>
      <c r="I1566" s="82">
        <v>169.45</v>
      </c>
      <c r="J1566" s="82">
        <v>169.45</v>
      </c>
    </row>
    <row r="1567" spans="1:10" ht="38.25" x14ac:dyDescent="0.2">
      <c r="A1567" s="87" t="s">
        <v>781</v>
      </c>
      <c r="B1567" s="88" t="s">
        <v>1131</v>
      </c>
      <c r="C1567" s="87" t="s">
        <v>15</v>
      </c>
      <c r="D1567" s="87" t="s">
        <v>1132</v>
      </c>
      <c r="E1567" s="126" t="s">
        <v>784</v>
      </c>
      <c r="F1567" s="126"/>
      <c r="G1567" s="89" t="s">
        <v>785</v>
      </c>
      <c r="H1567" s="90">
        <v>0.27</v>
      </c>
      <c r="I1567" s="91">
        <v>27.08</v>
      </c>
      <c r="J1567" s="91">
        <v>7.31</v>
      </c>
    </row>
    <row r="1568" spans="1:10" ht="38.25" x14ac:dyDescent="0.2">
      <c r="A1568" s="87" t="s">
        <v>781</v>
      </c>
      <c r="B1568" s="88" t="s">
        <v>816</v>
      </c>
      <c r="C1568" s="87" t="s">
        <v>15</v>
      </c>
      <c r="D1568" s="87" t="s">
        <v>817</v>
      </c>
      <c r="E1568" s="126" t="s">
        <v>784</v>
      </c>
      <c r="F1568" s="126"/>
      <c r="G1568" s="89" t="s">
        <v>785</v>
      </c>
      <c r="H1568" s="90">
        <v>0.27</v>
      </c>
      <c r="I1568" s="91">
        <v>18.57</v>
      </c>
      <c r="J1568" s="91">
        <v>5.01</v>
      </c>
    </row>
    <row r="1569" spans="1:10" ht="38.25" x14ac:dyDescent="0.2">
      <c r="A1569" s="87" t="s">
        <v>781</v>
      </c>
      <c r="B1569" s="88" t="s">
        <v>1133</v>
      </c>
      <c r="C1569" s="87" t="s">
        <v>15</v>
      </c>
      <c r="D1569" s="87" t="s">
        <v>1134</v>
      </c>
      <c r="E1569" s="126" t="s">
        <v>794</v>
      </c>
      <c r="F1569" s="126"/>
      <c r="G1569" s="89" t="s">
        <v>134</v>
      </c>
      <c r="H1569" s="90">
        <v>1</v>
      </c>
      <c r="I1569" s="91">
        <v>3.85</v>
      </c>
      <c r="J1569" s="91">
        <v>3.85</v>
      </c>
    </row>
    <row r="1570" spans="1:10" ht="38.25" x14ac:dyDescent="0.2">
      <c r="A1570" s="87" t="s">
        <v>781</v>
      </c>
      <c r="B1570" s="88" t="s">
        <v>1282</v>
      </c>
      <c r="C1570" s="87" t="s">
        <v>15</v>
      </c>
      <c r="D1570" s="87" t="s">
        <v>1283</v>
      </c>
      <c r="E1570" s="126" t="s">
        <v>794</v>
      </c>
      <c r="F1570" s="126"/>
      <c r="G1570" s="89" t="s">
        <v>134</v>
      </c>
      <c r="H1570" s="90">
        <v>0.16200000000000001</v>
      </c>
      <c r="I1570" s="91">
        <v>7.06</v>
      </c>
      <c r="J1570" s="91">
        <v>1.1399999999999999</v>
      </c>
    </row>
    <row r="1571" spans="1:10" ht="38.25" x14ac:dyDescent="0.2">
      <c r="A1571" s="87" t="s">
        <v>781</v>
      </c>
      <c r="B1571" s="88" t="s">
        <v>1284</v>
      </c>
      <c r="C1571" s="87" t="s">
        <v>15</v>
      </c>
      <c r="D1571" s="87" t="s">
        <v>1285</v>
      </c>
      <c r="E1571" s="126" t="s">
        <v>794</v>
      </c>
      <c r="F1571" s="126"/>
      <c r="G1571" s="89" t="s">
        <v>78</v>
      </c>
      <c r="H1571" s="90">
        <v>1.05</v>
      </c>
      <c r="I1571" s="91">
        <v>144.9</v>
      </c>
      <c r="J1571" s="91">
        <v>152.13999999999999</v>
      </c>
    </row>
    <row r="1572" spans="1:10" ht="38.25" x14ac:dyDescent="0.2">
      <c r="A1572" s="92"/>
      <c r="B1572" s="92"/>
      <c r="C1572" s="92"/>
      <c r="D1572" s="92"/>
      <c r="E1572" s="92" t="s">
        <v>801</v>
      </c>
      <c r="F1572" s="93">
        <v>12.32</v>
      </c>
      <c r="G1572" s="92" t="s">
        <v>802</v>
      </c>
      <c r="H1572" s="93">
        <v>0</v>
      </c>
      <c r="I1572" s="92" t="s">
        <v>803</v>
      </c>
      <c r="J1572" s="93">
        <v>12.32</v>
      </c>
    </row>
    <row r="1573" spans="1:10" ht="38.25" x14ac:dyDescent="0.2">
      <c r="A1573" s="92"/>
      <c r="B1573" s="92"/>
      <c r="C1573" s="92"/>
      <c r="D1573" s="92"/>
      <c r="E1573" s="92" t="s">
        <v>804</v>
      </c>
      <c r="F1573" s="93">
        <v>48.83</v>
      </c>
      <c r="G1573" s="92"/>
      <c r="H1573" s="127" t="s">
        <v>805</v>
      </c>
      <c r="I1573" s="127"/>
      <c r="J1573" s="93">
        <v>218.28</v>
      </c>
    </row>
    <row r="1574" spans="1:10" ht="15" thickBot="1" x14ac:dyDescent="0.25">
      <c r="A1574" s="77"/>
      <c r="B1574" s="77"/>
      <c r="C1574" s="77"/>
      <c r="D1574" s="77"/>
      <c r="E1574" s="77"/>
      <c r="F1574" s="77"/>
      <c r="G1574" s="77" t="s">
        <v>806</v>
      </c>
      <c r="H1574" s="94">
        <v>5.14</v>
      </c>
      <c r="I1574" s="77" t="s">
        <v>807</v>
      </c>
      <c r="J1574" s="78">
        <v>1121.95</v>
      </c>
    </row>
    <row r="1575" spans="1:10" ht="15" thickTop="1" x14ac:dyDescent="0.2">
      <c r="A1575" s="95"/>
      <c r="B1575" s="95"/>
      <c r="C1575" s="95"/>
      <c r="D1575" s="95"/>
      <c r="E1575" s="95"/>
      <c r="F1575" s="95"/>
      <c r="G1575" s="95"/>
      <c r="H1575" s="95"/>
      <c r="I1575" s="95"/>
      <c r="J1575" s="95"/>
    </row>
    <row r="1576" spans="1:10" x14ac:dyDescent="0.2">
      <c r="A1576" s="18" t="s">
        <v>487</v>
      </c>
      <c r="B1576" s="18"/>
      <c r="C1576" s="18"/>
      <c r="D1576" s="18" t="s">
        <v>488</v>
      </c>
      <c r="E1576" s="18"/>
      <c r="F1576" s="122"/>
      <c r="G1576" s="122"/>
      <c r="H1576" s="39"/>
      <c r="I1576" s="18"/>
      <c r="J1576" s="80">
        <v>32106.240000000002</v>
      </c>
    </row>
    <row r="1577" spans="1:10" ht="15" x14ac:dyDescent="0.2">
      <c r="A1577" s="75" t="s">
        <v>489</v>
      </c>
      <c r="B1577" s="17" t="s">
        <v>11</v>
      </c>
      <c r="C1577" s="75" t="s">
        <v>12</v>
      </c>
      <c r="D1577" s="75" t="s">
        <v>2</v>
      </c>
      <c r="E1577" s="124" t="s">
        <v>779</v>
      </c>
      <c r="F1577" s="124"/>
      <c r="G1577" s="76" t="s">
        <v>3</v>
      </c>
      <c r="H1577" s="17" t="s">
        <v>4</v>
      </c>
      <c r="I1577" s="17" t="s">
        <v>13</v>
      </c>
      <c r="J1577" s="17" t="s">
        <v>17</v>
      </c>
    </row>
    <row r="1578" spans="1:10" ht="25.5" x14ac:dyDescent="0.2">
      <c r="A1578" s="19" t="s">
        <v>780</v>
      </c>
      <c r="B1578" s="20" t="s">
        <v>490</v>
      </c>
      <c r="C1578" s="19" t="s">
        <v>15</v>
      </c>
      <c r="D1578" s="19" t="s">
        <v>491</v>
      </c>
      <c r="E1578" s="125">
        <v>7.12</v>
      </c>
      <c r="F1578" s="125"/>
      <c r="G1578" s="21" t="s">
        <v>50</v>
      </c>
      <c r="H1578" s="86">
        <v>1</v>
      </c>
      <c r="I1578" s="82">
        <v>12.1</v>
      </c>
      <c r="J1578" s="82">
        <v>12.1</v>
      </c>
    </row>
    <row r="1579" spans="1:10" ht="38.25" x14ac:dyDescent="0.2">
      <c r="A1579" s="87" t="s">
        <v>781</v>
      </c>
      <c r="B1579" s="88" t="s">
        <v>816</v>
      </c>
      <c r="C1579" s="87" t="s">
        <v>15</v>
      </c>
      <c r="D1579" s="87" t="s">
        <v>817</v>
      </c>
      <c r="E1579" s="126" t="s">
        <v>784</v>
      </c>
      <c r="F1579" s="126"/>
      <c r="G1579" s="89" t="s">
        <v>785</v>
      </c>
      <c r="H1579" s="90">
        <v>1.49E-2</v>
      </c>
      <c r="I1579" s="91">
        <v>18.57</v>
      </c>
      <c r="J1579" s="91">
        <v>0.27</v>
      </c>
    </row>
    <row r="1580" spans="1:10" ht="38.25" x14ac:dyDescent="0.2">
      <c r="A1580" s="87" t="s">
        <v>781</v>
      </c>
      <c r="B1580" s="88" t="s">
        <v>856</v>
      </c>
      <c r="C1580" s="87" t="s">
        <v>15</v>
      </c>
      <c r="D1580" s="87" t="s">
        <v>857</v>
      </c>
      <c r="E1580" s="126" t="s">
        <v>794</v>
      </c>
      <c r="F1580" s="126"/>
      <c r="G1580" s="89" t="s">
        <v>785</v>
      </c>
      <c r="H1580" s="90">
        <v>6.6E-3</v>
      </c>
      <c r="I1580" s="91">
        <v>369.14</v>
      </c>
      <c r="J1580" s="91">
        <v>2.4300000000000002</v>
      </c>
    </row>
    <row r="1581" spans="1:10" ht="38.25" x14ac:dyDescent="0.2">
      <c r="A1581" s="87" t="s">
        <v>781</v>
      </c>
      <c r="B1581" s="88" t="s">
        <v>858</v>
      </c>
      <c r="C1581" s="87" t="s">
        <v>15</v>
      </c>
      <c r="D1581" s="87" t="s">
        <v>859</v>
      </c>
      <c r="E1581" s="126" t="s">
        <v>794</v>
      </c>
      <c r="F1581" s="126"/>
      <c r="G1581" s="89" t="s">
        <v>785</v>
      </c>
      <c r="H1581" s="90">
        <v>1.49E-2</v>
      </c>
      <c r="I1581" s="91">
        <v>220.53</v>
      </c>
      <c r="J1581" s="91">
        <v>3.28</v>
      </c>
    </row>
    <row r="1582" spans="1:10" ht="38.25" x14ac:dyDescent="0.2">
      <c r="A1582" s="87" t="s">
        <v>781</v>
      </c>
      <c r="B1582" s="88" t="s">
        <v>860</v>
      </c>
      <c r="C1582" s="87" t="s">
        <v>15</v>
      </c>
      <c r="D1582" s="87" t="s">
        <v>861</v>
      </c>
      <c r="E1582" s="126" t="s">
        <v>794</v>
      </c>
      <c r="F1582" s="126"/>
      <c r="G1582" s="89" t="s">
        <v>785</v>
      </c>
      <c r="H1582" s="90">
        <v>3.8E-3</v>
      </c>
      <c r="I1582" s="91">
        <v>300.95999999999998</v>
      </c>
      <c r="J1582" s="91">
        <v>1.1399999999999999</v>
      </c>
    </row>
    <row r="1583" spans="1:10" ht="38.25" x14ac:dyDescent="0.2">
      <c r="A1583" s="87" t="s">
        <v>781</v>
      </c>
      <c r="B1583" s="88" t="s">
        <v>862</v>
      </c>
      <c r="C1583" s="87" t="s">
        <v>15</v>
      </c>
      <c r="D1583" s="87" t="s">
        <v>863</v>
      </c>
      <c r="E1583" s="126" t="s">
        <v>794</v>
      </c>
      <c r="F1583" s="126"/>
      <c r="G1583" s="89" t="s">
        <v>785</v>
      </c>
      <c r="H1583" s="90">
        <v>1.4999999999999999E-2</v>
      </c>
      <c r="I1583" s="91">
        <v>195.87</v>
      </c>
      <c r="J1583" s="91">
        <v>2.93</v>
      </c>
    </row>
    <row r="1584" spans="1:10" ht="38.25" x14ac:dyDescent="0.2">
      <c r="A1584" s="87" t="s">
        <v>781</v>
      </c>
      <c r="B1584" s="88" t="s">
        <v>854</v>
      </c>
      <c r="C1584" s="87" t="s">
        <v>15</v>
      </c>
      <c r="D1584" s="87" t="s">
        <v>855</v>
      </c>
      <c r="E1584" s="126" t="s">
        <v>794</v>
      </c>
      <c r="F1584" s="126"/>
      <c r="G1584" s="89" t="s">
        <v>785</v>
      </c>
      <c r="H1584" s="90">
        <v>7.1000000000000004E-3</v>
      </c>
      <c r="I1584" s="91">
        <v>289.14</v>
      </c>
      <c r="J1584" s="91">
        <v>2.0499999999999998</v>
      </c>
    </row>
    <row r="1585" spans="1:10" ht="38.25" x14ac:dyDescent="0.2">
      <c r="A1585" s="92"/>
      <c r="B1585" s="92"/>
      <c r="C1585" s="92"/>
      <c r="D1585" s="92"/>
      <c r="E1585" s="92" t="s">
        <v>801</v>
      </c>
      <c r="F1585" s="93">
        <v>0.27</v>
      </c>
      <c r="G1585" s="92" t="s">
        <v>802</v>
      </c>
      <c r="H1585" s="93">
        <v>0</v>
      </c>
      <c r="I1585" s="92" t="s">
        <v>803</v>
      </c>
      <c r="J1585" s="93">
        <v>0.27</v>
      </c>
    </row>
    <row r="1586" spans="1:10" ht="38.25" x14ac:dyDescent="0.2">
      <c r="A1586" s="92"/>
      <c r="B1586" s="92"/>
      <c r="C1586" s="92"/>
      <c r="D1586" s="92"/>
      <c r="E1586" s="92" t="s">
        <v>804</v>
      </c>
      <c r="F1586" s="93">
        <v>3.48</v>
      </c>
      <c r="G1586" s="92"/>
      <c r="H1586" s="127" t="s">
        <v>805</v>
      </c>
      <c r="I1586" s="127"/>
      <c r="J1586" s="93">
        <v>15.58</v>
      </c>
    </row>
    <row r="1587" spans="1:10" ht="15" thickBot="1" x14ac:dyDescent="0.25">
      <c r="A1587" s="77"/>
      <c r="B1587" s="77"/>
      <c r="C1587" s="77"/>
      <c r="D1587" s="77"/>
      <c r="E1587" s="77"/>
      <c r="F1587" s="77"/>
      <c r="G1587" s="77" t="s">
        <v>806</v>
      </c>
      <c r="H1587" s="94">
        <v>49.2</v>
      </c>
      <c r="I1587" s="77" t="s">
        <v>807</v>
      </c>
      <c r="J1587" s="78">
        <v>766.53</v>
      </c>
    </row>
    <row r="1588" spans="1:10" ht="15" thickTop="1" x14ac:dyDescent="0.2">
      <c r="A1588" s="95"/>
      <c r="B1588" s="95"/>
      <c r="C1588" s="95"/>
      <c r="D1588" s="95"/>
      <c r="E1588" s="95"/>
      <c r="F1588" s="95"/>
      <c r="G1588" s="95"/>
      <c r="H1588" s="95"/>
      <c r="I1588" s="95"/>
      <c r="J1588" s="95"/>
    </row>
    <row r="1589" spans="1:10" ht="15" x14ac:dyDescent="0.2">
      <c r="A1589" s="75" t="s">
        <v>492</v>
      </c>
      <c r="B1589" s="17" t="s">
        <v>11</v>
      </c>
      <c r="C1589" s="75" t="s">
        <v>12</v>
      </c>
      <c r="D1589" s="75" t="s">
        <v>2</v>
      </c>
      <c r="E1589" s="124" t="s">
        <v>779</v>
      </c>
      <c r="F1589" s="124"/>
      <c r="G1589" s="76" t="s">
        <v>3</v>
      </c>
      <c r="H1589" s="17" t="s">
        <v>4</v>
      </c>
      <c r="I1589" s="17" t="s">
        <v>13</v>
      </c>
      <c r="J1589" s="17" t="s">
        <v>17</v>
      </c>
    </row>
    <row r="1590" spans="1:10" ht="25.5" x14ac:dyDescent="0.2">
      <c r="A1590" s="19" t="s">
        <v>780</v>
      </c>
      <c r="B1590" s="20" t="s">
        <v>129</v>
      </c>
      <c r="C1590" s="19" t="s">
        <v>15</v>
      </c>
      <c r="D1590" s="19" t="s">
        <v>130</v>
      </c>
      <c r="E1590" s="125">
        <v>11.18</v>
      </c>
      <c r="F1590" s="125"/>
      <c r="G1590" s="21" t="s">
        <v>50</v>
      </c>
      <c r="H1590" s="86">
        <v>1</v>
      </c>
      <c r="I1590" s="82">
        <v>204.52</v>
      </c>
      <c r="J1590" s="82">
        <v>204.52</v>
      </c>
    </row>
    <row r="1591" spans="1:10" ht="38.25" x14ac:dyDescent="0.2">
      <c r="A1591" s="87" t="s">
        <v>781</v>
      </c>
      <c r="B1591" s="88" t="s">
        <v>816</v>
      </c>
      <c r="C1591" s="87" t="s">
        <v>15</v>
      </c>
      <c r="D1591" s="87" t="s">
        <v>817</v>
      </c>
      <c r="E1591" s="126" t="s">
        <v>784</v>
      </c>
      <c r="F1591" s="126"/>
      <c r="G1591" s="89" t="s">
        <v>785</v>
      </c>
      <c r="H1591" s="90">
        <v>1.5</v>
      </c>
      <c r="I1591" s="91">
        <v>18.57</v>
      </c>
      <c r="J1591" s="91">
        <v>27.85</v>
      </c>
    </row>
    <row r="1592" spans="1:10" ht="38.25" x14ac:dyDescent="0.2">
      <c r="A1592" s="87" t="s">
        <v>781</v>
      </c>
      <c r="B1592" s="88" t="s">
        <v>897</v>
      </c>
      <c r="C1592" s="87" t="s">
        <v>15</v>
      </c>
      <c r="D1592" s="87" t="s">
        <v>898</v>
      </c>
      <c r="E1592" s="126" t="s">
        <v>794</v>
      </c>
      <c r="F1592" s="126"/>
      <c r="G1592" s="89" t="s">
        <v>50</v>
      </c>
      <c r="H1592" s="90">
        <v>1.2</v>
      </c>
      <c r="I1592" s="91">
        <v>147.22999999999999</v>
      </c>
      <c r="J1592" s="91">
        <v>176.67</v>
      </c>
    </row>
    <row r="1593" spans="1:10" ht="38.25" x14ac:dyDescent="0.2">
      <c r="A1593" s="92"/>
      <c r="B1593" s="92"/>
      <c r="C1593" s="92"/>
      <c r="D1593" s="92"/>
      <c r="E1593" s="92" t="s">
        <v>801</v>
      </c>
      <c r="F1593" s="93">
        <v>27.85</v>
      </c>
      <c r="G1593" s="92" t="s">
        <v>802</v>
      </c>
      <c r="H1593" s="93">
        <v>0</v>
      </c>
      <c r="I1593" s="92" t="s">
        <v>803</v>
      </c>
      <c r="J1593" s="93">
        <v>27.85</v>
      </c>
    </row>
    <row r="1594" spans="1:10" ht="38.25" x14ac:dyDescent="0.2">
      <c r="A1594" s="92"/>
      <c r="B1594" s="92"/>
      <c r="C1594" s="92"/>
      <c r="D1594" s="92"/>
      <c r="E1594" s="92" t="s">
        <v>804</v>
      </c>
      <c r="F1594" s="93">
        <v>58.94</v>
      </c>
      <c r="G1594" s="92"/>
      <c r="H1594" s="127" t="s">
        <v>805</v>
      </c>
      <c r="I1594" s="127"/>
      <c r="J1594" s="93">
        <v>263.45999999999998</v>
      </c>
    </row>
    <row r="1595" spans="1:10" ht="15" thickBot="1" x14ac:dyDescent="0.25">
      <c r="A1595" s="77"/>
      <c r="B1595" s="77"/>
      <c r="C1595" s="77"/>
      <c r="D1595" s="77"/>
      <c r="E1595" s="77"/>
      <c r="F1595" s="77"/>
      <c r="G1595" s="77" t="s">
        <v>806</v>
      </c>
      <c r="H1595" s="94">
        <v>8.1999999999999993</v>
      </c>
      <c r="I1595" s="77" t="s">
        <v>807</v>
      </c>
      <c r="J1595" s="78">
        <v>2160.37</v>
      </c>
    </row>
    <row r="1596" spans="1:10" ht="15" thickTop="1" x14ac:dyDescent="0.2">
      <c r="A1596" s="95"/>
      <c r="B1596" s="95"/>
      <c r="C1596" s="95"/>
      <c r="D1596" s="95"/>
      <c r="E1596" s="95"/>
      <c r="F1596" s="95"/>
      <c r="G1596" s="95"/>
      <c r="H1596" s="95"/>
      <c r="I1596" s="95"/>
      <c r="J1596" s="95"/>
    </row>
    <row r="1597" spans="1:10" ht="15" x14ac:dyDescent="0.2">
      <c r="A1597" s="75" t="s">
        <v>493</v>
      </c>
      <c r="B1597" s="17" t="s">
        <v>11</v>
      </c>
      <c r="C1597" s="75" t="s">
        <v>12</v>
      </c>
      <c r="D1597" s="75" t="s">
        <v>2</v>
      </c>
      <c r="E1597" s="124" t="s">
        <v>779</v>
      </c>
      <c r="F1597" s="124"/>
      <c r="G1597" s="76" t="s">
        <v>3</v>
      </c>
      <c r="H1597" s="17" t="s">
        <v>4</v>
      </c>
      <c r="I1597" s="17" t="s">
        <v>13</v>
      </c>
      <c r="J1597" s="17" t="s">
        <v>17</v>
      </c>
    </row>
    <row r="1598" spans="1:10" ht="25.5" x14ac:dyDescent="0.2">
      <c r="A1598" s="19" t="s">
        <v>780</v>
      </c>
      <c r="B1598" s="20" t="s">
        <v>483</v>
      </c>
      <c r="C1598" s="19" t="s">
        <v>15</v>
      </c>
      <c r="D1598" s="19" t="s">
        <v>484</v>
      </c>
      <c r="E1598" s="125">
        <v>10.02</v>
      </c>
      <c r="F1598" s="125"/>
      <c r="G1598" s="21" t="s">
        <v>134</v>
      </c>
      <c r="H1598" s="86">
        <v>1</v>
      </c>
      <c r="I1598" s="82">
        <v>10.36</v>
      </c>
      <c r="J1598" s="82">
        <v>10.36</v>
      </c>
    </row>
    <row r="1599" spans="1:10" ht="38.25" x14ac:dyDescent="0.2">
      <c r="A1599" s="87" t="s">
        <v>781</v>
      </c>
      <c r="B1599" s="88" t="s">
        <v>865</v>
      </c>
      <c r="C1599" s="87" t="s">
        <v>15</v>
      </c>
      <c r="D1599" s="87" t="s">
        <v>866</v>
      </c>
      <c r="E1599" s="126" t="s">
        <v>784</v>
      </c>
      <c r="F1599" s="126"/>
      <c r="G1599" s="89" t="s">
        <v>785</v>
      </c>
      <c r="H1599" s="90">
        <v>0.04</v>
      </c>
      <c r="I1599" s="91">
        <v>18.57</v>
      </c>
      <c r="J1599" s="91">
        <v>0.74</v>
      </c>
    </row>
    <row r="1600" spans="1:10" ht="38.25" x14ac:dyDescent="0.2">
      <c r="A1600" s="87" t="s">
        <v>781</v>
      </c>
      <c r="B1600" s="88" t="s">
        <v>867</v>
      </c>
      <c r="C1600" s="87" t="s">
        <v>15</v>
      </c>
      <c r="D1600" s="87" t="s">
        <v>868</v>
      </c>
      <c r="E1600" s="126" t="s">
        <v>784</v>
      </c>
      <c r="F1600" s="126"/>
      <c r="G1600" s="89" t="s">
        <v>785</v>
      </c>
      <c r="H1600" s="90">
        <v>0.02</v>
      </c>
      <c r="I1600" s="91">
        <v>22.61</v>
      </c>
      <c r="J1600" s="91">
        <v>0.45</v>
      </c>
    </row>
    <row r="1601" spans="1:10" ht="38.25" x14ac:dyDescent="0.2">
      <c r="A1601" s="87" t="s">
        <v>781</v>
      </c>
      <c r="B1601" s="88" t="s">
        <v>1290</v>
      </c>
      <c r="C1601" s="87" t="s">
        <v>15</v>
      </c>
      <c r="D1601" s="87" t="s">
        <v>1291</v>
      </c>
      <c r="E1601" s="126" t="s">
        <v>794</v>
      </c>
      <c r="F1601" s="126"/>
      <c r="G1601" s="89" t="s">
        <v>134</v>
      </c>
      <c r="H1601" s="90">
        <v>1.1000000000000001</v>
      </c>
      <c r="I1601" s="91">
        <v>8.27</v>
      </c>
      <c r="J1601" s="91">
        <v>9.09</v>
      </c>
    </row>
    <row r="1602" spans="1:10" ht="38.25" x14ac:dyDescent="0.2">
      <c r="A1602" s="87" t="s">
        <v>781</v>
      </c>
      <c r="B1602" s="88" t="s">
        <v>875</v>
      </c>
      <c r="C1602" s="87" t="s">
        <v>15</v>
      </c>
      <c r="D1602" s="87" t="s">
        <v>876</v>
      </c>
      <c r="E1602" s="126" t="s">
        <v>794</v>
      </c>
      <c r="F1602" s="126"/>
      <c r="G1602" s="89" t="s">
        <v>134</v>
      </c>
      <c r="H1602" s="90">
        <v>6.4999999999999997E-3</v>
      </c>
      <c r="I1602" s="91">
        <v>13.7</v>
      </c>
      <c r="J1602" s="91">
        <v>0.08</v>
      </c>
    </row>
    <row r="1603" spans="1:10" ht="38.25" x14ac:dyDescent="0.2">
      <c r="A1603" s="92"/>
      <c r="B1603" s="92"/>
      <c r="C1603" s="92"/>
      <c r="D1603" s="92"/>
      <c r="E1603" s="92" t="s">
        <v>801</v>
      </c>
      <c r="F1603" s="93">
        <v>1.19</v>
      </c>
      <c r="G1603" s="92" t="s">
        <v>802</v>
      </c>
      <c r="H1603" s="93">
        <v>0</v>
      </c>
      <c r="I1603" s="92" t="s">
        <v>803</v>
      </c>
      <c r="J1603" s="93">
        <v>1.19</v>
      </c>
    </row>
    <row r="1604" spans="1:10" ht="38.25" x14ac:dyDescent="0.2">
      <c r="A1604" s="92"/>
      <c r="B1604" s="92"/>
      <c r="C1604" s="92"/>
      <c r="D1604" s="92"/>
      <c r="E1604" s="92" t="s">
        <v>804</v>
      </c>
      <c r="F1604" s="93">
        <v>2.98</v>
      </c>
      <c r="G1604" s="92"/>
      <c r="H1604" s="127" t="s">
        <v>805</v>
      </c>
      <c r="I1604" s="127"/>
      <c r="J1604" s="93">
        <v>13.34</v>
      </c>
    </row>
    <row r="1605" spans="1:10" ht="15" thickBot="1" x14ac:dyDescent="0.25">
      <c r="A1605" s="77"/>
      <c r="B1605" s="77"/>
      <c r="C1605" s="77"/>
      <c r="D1605" s="77"/>
      <c r="E1605" s="77"/>
      <c r="F1605" s="77"/>
      <c r="G1605" s="77" t="s">
        <v>806</v>
      </c>
      <c r="H1605" s="94">
        <v>159.08000000000001</v>
      </c>
      <c r="I1605" s="77" t="s">
        <v>807</v>
      </c>
      <c r="J1605" s="78">
        <v>2122.12</v>
      </c>
    </row>
    <row r="1606" spans="1:10" ht="15" thickTop="1" x14ac:dyDescent="0.2">
      <c r="A1606" s="95"/>
      <c r="B1606" s="95"/>
      <c r="C1606" s="95"/>
      <c r="D1606" s="95"/>
      <c r="E1606" s="95"/>
      <c r="F1606" s="95"/>
      <c r="G1606" s="95"/>
      <c r="H1606" s="95"/>
      <c r="I1606" s="95"/>
      <c r="J1606" s="95"/>
    </row>
    <row r="1607" spans="1:10" ht="15" x14ac:dyDescent="0.2">
      <c r="A1607" s="75" t="s">
        <v>494</v>
      </c>
      <c r="B1607" s="17" t="s">
        <v>11</v>
      </c>
      <c r="C1607" s="75" t="s">
        <v>12</v>
      </c>
      <c r="D1607" s="75" t="s">
        <v>2</v>
      </c>
      <c r="E1607" s="124" t="s">
        <v>779</v>
      </c>
      <c r="F1607" s="124"/>
      <c r="G1607" s="76" t="s">
        <v>3</v>
      </c>
      <c r="H1607" s="17" t="s">
        <v>4</v>
      </c>
      <c r="I1607" s="17" t="s">
        <v>13</v>
      </c>
      <c r="J1607" s="17" t="s">
        <v>17</v>
      </c>
    </row>
    <row r="1608" spans="1:10" ht="25.5" x14ac:dyDescent="0.2">
      <c r="A1608" s="19" t="s">
        <v>780</v>
      </c>
      <c r="B1608" s="20" t="s">
        <v>136</v>
      </c>
      <c r="C1608" s="19" t="s">
        <v>15</v>
      </c>
      <c r="D1608" s="19" t="s">
        <v>137</v>
      </c>
      <c r="E1608" s="125">
        <v>11.01</v>
      </c>
      <c r="F1608" s="125"/>
      <c r="G1608" s="21" t="s">
        <v>50</v>
      </c>
      <c r="H1608" s="86">
        <v>1</v>
      </c>
      <c r="I1608" s="82">
        <v>565.37</v>
      </c>
      <c r="J1608" s="82">
        <v>565.37</v>
      </c>
    </row>
    <row r="1609" spans="1:10" ht="38.25" x14ac:dyDescent="0.2">
      <c r="A1609" s="87" t="s">
        <v>781</v>
      </c>
      <c r="B1609" s="88" t="s">
        <v>899</v>
      </c>
      <c r="C1609" s="87" t="s">
        <v>15</v>
      </c>
      <c r="D1609" s="87" t="s">
        <v>900</v>
      </c>
      <c r="E1609" s="126" t="s">
        <v>794</v>
      </c>
      <c r="F1609" s="126"/>
      <c r="G1609" s="89" t="s">
        <v>50</v>
      </c>
      <c r="H1609" s="90">
        <v>1.03</v>
      </c>
      <c r="I1609" s="91">
        <v>548.91</v>
      </c>
      <c r="J1609" s="91">
        <v>565.37</v>
      </c>
    </row>
    <row r="1610" spans="1:10" ht="38.25" x14ac:dyDescent="0.2">
      <c r="A1610" s="92"/>
      <c r="B1610" s="92"/>
      <c r="C1610" s="92"/>
      <c r="D1610" s="92"/>
      <c r="E1610" s="92" t="s">
        <v>801</v>
      </c>
      <c r="F1610" s="93">
        <v>0</v>
      </c>
      <c r="G1610" s="92" t="s">
        <v>802</v>
      </c>
      <c r="H1610" s="93">
        <v>0</v>
      </c>
      <c r="I1610" s="92" t="s">
        <v>803</v>
      </c>
      <c r="J1610" s="93">
        <v>0</v>
      </c>
    </row>
    <row r="1611" spans="1:10" ht="38.25" x14ac:dyDescent="0.2">
      <c r="A1611" s="92"/>
      <c r="B1611" s="92"/>
      <c r="C1611" s="92"/>
      <c r="D1611" s="92"/>
      <c r="E1611" s="92" t="s">
        <v>804</v>
      </c>
      <c r="F1611" s="93">
        <v>162.93</v>
      </c>
      <c r="G1611" s="92"/>
      <c r="H1611" s="127" t="s">
        <v>805</v>
      </c>
      <c r="I1611" s="127"/>
      <c r="J1611" s="93">
        <v>728.3</v>
      </c>
    </row>
    <row r="1612" spans="1:10" ht="15" thickBot="1" x14ac:dyDescent="0.25">
      <c r="A1612" s="77"/>
      <c r="B1612" s="77"/>
      <c r="C1612" s="77"/>
      <c r="D1612" s="77"/>
      <c r="E1612" s="77"/>
      <c r="F1612" s="77"/>
      <c r="G1612" s="77" t="s">
        <v>806</v>
      </c>
      <c r="H1612" s="94">
        <v>9.84</v>
      </c>
      <c r="I1612" s="77" t="s">
        <v>807</v>
      </c>
      <c r="J1612" s="78">
        <v>7166.47</v>
      </c>
    </row>
    <row r="1613" spans="1:10" ht="15" thickTop="1" x14ac:dyDescent="0.2">
      <c r="A1613" s="95"/>
      <c r="B1613" s="95"/>
      <c r="C1613" s="95"/>
      <c r="D1613" s="95"/>
      <c r="E1613" s="95"/>
      <c r="F1613" s="95"/>
      <c r="G1613" s="95"/>
      <c r="H1613" s="95"/>
      <c r="I1613" s="95"/>
      <c r="J1613" s="95"/>
    </row>
    <row r="1614" spans="1:10" ht="15" x14ac:dyDescent="0.2">
      <c r="A1614" s="75" t="s">
        <v>495</v>
      </c>
      <c r="B1614" s="17" t="s">
        <v>11</v>
      </c>
      <c r="C1614" s="75" t="s">
        <v>12</v>
      </c>
      <c r="D1614" s="75" t="s">
        <v>2</v>
      </c>
      <c r="E1614" s="124" t="s">
        <v>779</v>
      </c>
      <c r="F1614" s="124"/>
      <c r="G1614" s="76" t="s">
        <v>3</v>
      </c>
      <c r="H1614" s="17" t="s">
        <v>4</v>
      </c>
      <c r="I1614" s="17" t="s">
        <v>13</v>
      </c>
      <c r="J1614" s="17" t="s">
        <v>17</v>
      </c>
    </row>
    <row r="1615" spans="1:10" ht="25.5" x14ac:dyDescent="0.2">
      <c r="A1615" s="19" t="s">
        <v>780</v>
      </c>
      <c r="B1615" s="20" t="s">
        <v>156</v>
      </c>
      <c r="C1615" s="19" t="s">
        <v>15</v>
      </c>
      <c r="D1615" s="19" t="s">
        <v>157</v>
      </c>
      <c r="E1615" s="125">
        <v>11.16</v>
      </c>
      <c r="F1615" s="125"/>
      <c r="G1615" s="21" t="s">
        <v>50</v>
      </c>
      <c r="H1615" s="86">
        <v>1</v>
      </c>
      <c r="I1615" s="82">
        <v>78.319999999999993</v>
      </c>
      <c r="J1615" s="82">
        <v>78.319999999999993</v>
      </c>
    </row>
    <row r="1616" spans="1:10" ht="38.25" x14ac:dyDescent="0.2">
      <c r="A1616" s="87" t="s">
        <v>781</v>
      </c>
      <c r="B1616" s="88" t="s">
        <v>832</v>
      </c>
      <c r="C1616" s="87" t="s">
        <v>15</v>
      </c>
      <c r="D1616" s="87" t="s">
        <v>833</v>
      </c>
      <c r="E1616" s="126" t="s">
        <v>784</v>
      </c>
      <c r="F1616" s="126"/>
      <c r="G1616" s="89" t="s">
        <v>785</v>
      </c>
      <c r="H1616" s="90">
        <v>1</v>
      </c>
      <c r="I1616" s="91">
        <v>22.61</v>
      </c>
      <c r="J1616" s="91">
        <v>22.61</v>
      </c>
    </row>
    <row r="1617" spans="1:10" ht="38.25" x14ac:dyDescent="0.2">
      <c r="A1617" s="87" t="s">
        <v>781</v>
      </c>
      <c r="B1617" s="88" t="s">
        <v>816</v>
      </c>
      <c r="C1617" s="87" t="s">
        <v>15</v>
      </c>
      <c r="D1617" s="87" t="s">
        <v>817</v>
      </c>
      <c r="E1617" s="126" t="s">
        <v>784</v>
      </c>
      <c r="F1617" s="126"/>
      <c r="G1617" s="89" t="s">
        <v>785</v>
      </c>
      <c r="H1617" s="90">
        <v>3</v>
      </c>
      <c r="I1617" s="91">
        <v>18.57</v>
      </c>
      <c r="J1617" s="91">
        <v>55.71</v>
      </c>
    </row>
    <row r="1618" spans="1:10" ht="38.25" x14ac:dyDescent="0.2">
      <c r="A1618" s="92"/>
      <c r="B1618" s="92"/>
      <c r="C1618" s="92"/>
      <c r="D1618" s="92"/>
      <c r="E1618" s="92" t="s">
        <v>801</v>
      </c>
      <c r="F1618" s="93">
        <v>78.319999999999993</v>
      </c>
      <c r="G1618" s="92" t="s">
        <v>802</v>
      </c>
      <c r="H1618" s="93">
        <v>0</v>
      </c>
      <c r="I1618" s="92" t="s">
        <v>803</v>
      </c>
      <c r="J1618" s="93">
        <v>78.319999999999993</v>
      </c>
    </row>
    <row r="1619" spans="1:10" ht="38.25" x14ac:dyDescent="0.2">
      <c r="A1619" s="92"/>
      <c r="B1619" s="92"/>
      <c r="C1619" s="92"/>
      <c r="D1619" s="92"/>
      <c r="E1619" s="92" t="s">
        <v>804</v>
      </c>
      <c r="F1619" s="93">
        <v>22.57</v>
      </c>
      <c r="G1619" s="92"/>
      <c r="H1619" s="127" t="s">
        <v>805</v>
      </c>
      <c r="I1619" s="127"/>
      <c r="J1619" s="93">
        <v>100.89</v>
      </c>
    </row>
    <row r="1620" spans="1:10" ht="15" thickBot="1" x14ac:dyDescent="0.25">
      <c r="A1620" s="77"/>
      <c r="B1620" s="77"/>
      <c r="C1620" s="77"/>
      <c r="D1620" s="77"/>
      <c r="E1620" s="77"/>
      <c r="F1620" s="77"/>
      <c r="G1620" s="77" t="s">
        <v>806</v>
      </c>
      <c r="H1620" s="94">
        <v>9.84</v>
      </c>
      <c r="I1620" s="77" t="s">
        <v>807</v>
      </c>
      <c r="J1620" s="78">
        <v>992.75</v>
      </c>
    </row>
    <row r="1621" spans="1:10" ht="15" thickTop="1" x14ac:dyDescent="0.2">
      <c r="A1621" s="95"/>
      <c r="B1621" s="95"/>
      <c r="C1621" s="95"/>
      <c r="D1621" s="95"/>
      <c r="E1621" s="95"/>
      <c r="F1621" s="95"/>
      <c r="G1621" s="95"/>
      <c r="H1621" s="95"/>
      <c r="I1621" s="95"/>
      <c r="J1621" s="95"/>
    </row>
    <row r="1622" spans="1:10" ht="15" x14ac:dyDescent="0.2">
      <c r="A1622" s="75" t="s">
        <v>496</v>
      </c>
      <c r="B1622" s="17" t="s">
        <v>11</v>
      </c>
      <c r="C1622" s="75" t="s">
        <v>12</v>
      </c>
      <c r="D1622" s="75" t="s">
        <v>2</v>
      </c>
      <c r="E1622" s="124" t="s">
        <v>779</v>
      </c>
      <c r="F1622" s="124"/>
      <c r="G1622" s="76" t="s">
        <v>3</v>
      </c>
      <c r="H1622" s="17" t="s">
        <v>4</v>
      </c>
      <c r="I1622" s="17" t="s">
        <v>13</v>
      </c>
      <c r="J1622" s="17" t="s">
        <v>17</v>
      </c>
    </row>
    <row r="1623" spans="1:10" ht="25.5" x14ac:dyDescent="0.2">
      <c r="A1623" s="19" t="s">
        <v>780</v>
      </c>
      <c r="B1623" s="20" t="s">
        <v>497</v>
      </c>
      <c r="C1623" s="19" t="s">
        <v>15</v>
      </c>
      <c r="D1623" s="19" t="s">
        <v>498</v>
      </c>
      <c r="E1623" s="125">
        <v>11.2</v>
      </c>
      <c r="F1623" s="125"/>
      <c r="G1623" s="21" t="s">
        <v>78</v>
      </c>
      <c r="H1623" s="86">
        <v>1</v>
      </c>
      <c r="I1623" s="82">
        <v>11.42</v>
      </c>
      <c r="J1623" s="82">
        <v>11.42</v>
      </c>
    </row>
    <row r="1624" spans="1:10" ht="38.25" x14ac:dyDescent="0.2">
      <c r="A1624" s="87" t="s">
        <v>781</v>
      </c>
      <c r="B1624" s="88" t="s">
        <v>1292</v>
      </c>
      <c r="C1624" s="87" t="s">
        <v>15</v>
      </c>
      <c r="D1624" s="87" t="s">
        <v>1293</v>
      </c>
      <c r="E1624" s="126" t="s">
        <v>794</v>
      </c>
      <c r="F1624" s="126"/>
      <c r="G1624" s="89" t="s">
        <v>78</v>
      </c>
      <c r="H1624" s="90">
        <v>1</v>
      </c>
      <c r="I1624" s="91">
        <v>11.42</v>
      </c>
      <c r="J1624" s="91">
        <v>11.42</v>
      </c>
    </row>
    <row r="1625" spans="1:10" ht="38.25" x14ac:dyDescent="0.2">
      <c r="A1625" s="92"/>
      <c r="B1625" s="92"/>
      <c r="C1625" s="92"/>
      <c r="D1625" s="92"/>
      <c r="E1625" s="92" t="s">
        <v>801</v>
      </c>
      <c r="F1625" s="93">
        <v>0</v>
      </c>
      <c r="G1625" s="92" t="s">
        <v>802</v>
      </c>
      <c r="H1625" s="93">
        <v>0</v>
      </c>
      <c r="I1625" s="92" t="s">
        <v>803</v>
      </c>
      <c r="J1625" s="93">
        <v>0</v>
      </c>
    </row>
    <row r="1626" spans="1:10" ht="38.25" x14ac:dyDescent="0.2">
      <c r="A1626" s="92"/>
      <c r="B1626" s="92"/>
      <c r="C1626" s="92"/>
      <c r="D1626" s="92"/>
      <c r="E1626" s="92" t="s">
        <v>804</v>
      </c>
      <c r="F1626" s="93">
        <v>3.29</v>
      </c>
      <c r="G1626" s="92"/>
      <c r="H1626" s="127" t="s">
        <v>805</v>
      </c>
      <c r="I1626" s="127"/>
      <c r="J1626" s="93">
        <v>14.71</v>
      </c>
    </row>
    <row r="1627" spans="1:10" ht="15" thickBot="1" x14ac:dyDescent="0.25">
      <c r="A1627" s="77"/>
      <c r="B1627" s="77"/>
      <c r="C1627" s="77"/>
      <c r="D1627" s="77"/>
      <c r="E1627" s="77"/>
      <c r="F1627" s="77"/>
      <c r="G1627" s="77" t="s">
        <v>806</v>
      </c>
      <c r="H1627" s="94">
        <v>65.599999999999994</v>
      </c>
      <c r="I1627" s="77" t="s">
        <v>807</v>
      </c>
      <c r="J1627" s="78">
        <v>964.97</v>
      </c>
    </row>
    <row r="1628" spans="1:10" ht="15" thickTop="1" x14ac:dyDescent="0.2">
      <c r="A1628" s="95"/>
      <c r="B1628" s="95"/>
      <c r="C1628" s="95"/>
      <c r="D1628" s="95"/>
      <c r="E1628" s="95"/>
      <c r="F1628" s="95"/>
      <c r="G1628" s="95"/>
      <c r="H1628" s="95"/>
      <c r="I1628" s="95"/>
      <c r="J1628" s="95"/>
    </row>
    <row r="1629" spans="1:10" ht="15" x14ac:dyDescent="0.2">
      <c r="A1629" s="75" t="s">
        <v>499</v>
      </c>
      <c r="B1629" s="17" t="s">
        <v>11</v>
      </c>
      <c r="C1629" s="75" t="s">
        <v>12</v>
      </c>
      <c r="D1629" s="75" t="s">
        <v>2</v>
      </c>
      <c r="E1629" s="124" t="s">
        <v>779</v>
      </c>
      <c r="F1629" s="124"/>
      <c r="G1629" s="76" t="s">
        <v>3</v>
      </c>
      <c r="H1629" s="17" t="s">
        <v>4</v>
      </c>
      <c r="I1629" s="17" t="s">
        <v>13</v>
      </c>
      <c r="J1629" s="17" t="s">
        <v>17</v>
      </c>
    </row>
    <row r="1630" spans="1:10" ht="25.5" x14ac:dyDescent="0.2">
      <c r="A1630" s="19" t="s">
        <v>780</v>
      </c>
      <c r="B1630" s="20" t="s">
        <v>500</v>
      </c>
      <c r="C1630" s="19" t="s">
        <v>15</v>
      </c>
      <c r="D1630" s="19" t="s">
        <v>501</v>
      </c>
      <c r="E1630" s="125">
        <v>11.16</v>
      </c>
      <c r="F1630" s="125"/>
      <c r="G1630" s="21" t="s">
        <v>5</v>
      </c>
      <c r="H1630" s="86">
        <v>1</v>
      </c>
      <c r="I1630" s="82">
        <v>15.86</v>
      </c>
      <c r="J1630" s="82">
        <v>15.86</v>
      </c>
    </row>
    <row r="1631" spans="1:10" ht="38.25" x14ac:dyDescent="0.2">
      <c r="A1631" s="87" t="s">
        <v>781</v>
      </c>
      <c r="B1631" s="88" t="s">
        <v>1294</v>
      </c>
      <c r="C1631" s="87" t="s">
        <v>15</v>
      </c>
      <c r="D1631" s="87" t="s">
        <v>1295</v>
      </c>
      <c r="E1631" s="126" t="s">
        <v>794</v>
      </c>
      <c r="F1631" s="126"/>
      <c r="G1631" s="89" t="s">
        <v>5</v>
      </c>
      <c r="H1631" s="90">
        <v>1</v>
      </c>
      <c r="I1631" s="91">
        <v>15.86</v>
      </c>
      <c r="J1631" s="91">
        <v>15.86</v>
      </c>
    </row>
    <row r="1632" spans="1:10" ht="38.25" x14ac:dyDescent="0.2">
      <c r="A1632" s="92"/>
      <c r="B1632" s="92"/>
      <c r="C1632" s="92"/>
      <c r="D1632" s="92"/>
      <c r="E1632" s="92" t="s">
        <v>801</v>
      </c>
      <c r="F1632" s="93">
        <v>0</v>
      </c>
      <c r="G1632" s="92" t="s">
        <v>802</v>
      </c>
      <c r="H1632" s="93">
        <v>0</v>
      </c>
      <c r="I1632" s="92" t="s">
        <v>803</v>
      </c>
      <c r="J1632" s="93">
        <v>0</v>
      </c>
    </row>
    <row r="1633" spans="1:10" ht="38.25" x14ac:dyDescent="0.2">
      <c r="A1633" s="92"/>
      <c r="B1633" s="92"/>
      <c r="C1633" s="92"/>
      <c r="D1633" s="92"/>
      <c r="E1633" s="92" t="s">
        <v>804</v>
      </c>
      <c r="F1633" s="93">
        <v>4.57</v>
      </c>
      <c r="G1633" s="92"/>
      <c r="H1633" s="127" t="s">
        <v>805</v>
      </c>
      <c r="I1633" s="127"/>
      <c r="J1633" s="93">
        <v>20.43</v>
      </c>
    </row>
    <row r="1634" spans="1:10" ht="15" thickBot="1" x14ac:dyDescent="0.25">
      <c r="A1634" s="77"/>
      <c r="B1634" s="77"/>
      <c r="C1634" s="77"/>
      <c r="D1634" s="77"/>
      <c r="E1634" s="77"/>
      <c r="F1634" s="77"/>
      <c r="G1634" s="77" t="s">
        <v>806</v>
      </c>
      <c r="H1634" s="94">
        <v>164</v>
      </c>
      <c r="I1634" s="77" t="s">
        <v>807</v>
      </c>
      <c r="J1634" s="78">
        <v>3350.52</v>
      </c>
    </row>
    <row r="1635" spans="1:10" ht="15" thickTop="1" x14ac:dyDescent="0.2">
      <c r="A1635" s="95"/>
      <c r="B1635" s="95"/>
      <c r="C1635" s="95"/>
      <c r="D1635" s="95"/>
      <c r="E1635" s="95"/>
      <c r="F1635" s="95"/>
      <c r="G1635" s="95"/>
      <c r="H1635" s="95"/>
      <c r="I1635" s="95"/>
      <c r="J1635" s="95"/>
    </row>
    <row r="1636" spans="1:10" ht="15" x14ac:dyDescent="0.2">
      <c r="A1636" s="75" t="s">
        <v>502</v>
      </c>
      <c r="B1636" s="17" t="s">
        <v>11</v>
      </c>
      <c r="C1636" s="75" t="s">
        <v>12</v>
      </c>
      <c r="D1636" s="75" t="s">
        <v>2</v>
      </c>
      <c r="E1636" s="124" t="s">
        <v>779</v>
      </c>
      <c r="F1636" s="124"/>
      <c r="G1636" s="76" t="s">
        <v>3</v>
      </c>
      <c r="H1636" s="17" t="s">
        <v>4</v>
      </c>
      <c r="I1636" s="17" t="s">
        <v>13</v>
      </c>
      <c r="J1636" s="17" t="s">
        <v>17</v>
      </c>
    </row>
    <row r="1637" spans="1:10" ht="51" x14ac:dyDescent="0.2">
      <c r="A1637" s="19" t="s">
        <v>780</v>
      </c>
      <c r="B1637" s="20" t="s">
        <v>503</v>
      </c>
      <c r="C1637" s="19" t="s">
        <v>31</v>
      </c>
      <c r="D1637" s="19" t="s">
        <v>504</v>
      </c>
      <c r="E1637" s="125" t="s">
        <v>1296</v>
      </c>
      <c r="F1637" s="125"/>
      <c r="G1637" s="21" t="s">
        <v>78</v>
      </c>
      <c r="H1637" s="86">
        <v>1</v>
      </c>
      <c r="I1637" s="82">
        <v>61.76</v>
      </c>
      <c r="J1637" s="82">
        <v>61.76</v>
      </c>
    </row>
    <row r="1638" spans="1:10" ht="38.25" x14ac:dyDescent="0.2">
      <c r="A1638" s="96" t="s">
        <v>880</v>
      </c>
      <c r="B1638" s="97" t="s">
        <v>1297</v>
      </c>
      <c r="C1638" s="96" t="s">
        <v>31</v>
      </c>
      <c r="D1638" s="96" t="s">
        <v>1298</v>
      </c>
      <c r="E1638" s="128" t="s">
        <v>890</v>
      </c>
      <c r="F1638" s="128"/>
      <c r="G1638" s="98" t="s">
        <v>785</v>
      </c>
      <c r="H1638" s="99">
        <v>0.16600000000000001</v>
      </c>
      <c r="I1638" s="100">
        <v>28.68</v>
      </c>
      <c r="J1638" s="100">
        <v>4.76</v>
      </c>
    </row>
    <row r="1639" spans="1:10" ht="38.25" x14ac:dyDescent="0.2">
      <c r="A1639" s="96" t="s">
        <v>880</v>
      </c>
      <c r="B1639" s="97" t="s">
        <v>888</v>
      </c>
      <c r="C1639" s="96" t="s">
        <v>31</v>
      </c>
      <c r="D1639" s="96" t="s">
        <v>889</v>
      </c>
      <c r="E1639" s="128" t="s">
        <v>890</v>
      </c>
      <c r="F1639" s="128"/>
      <c r="G1639" s="98" t="s">
        <v>785</v>
      </c>
      <c r="H1639" s="99">
        <v>0.28320000000000001</v>
      </c>
      <c r="I1639" s="100">
        <v>31.42</v>
      </c>
      <c r="J1639" s="100">
        <v>8.89</v>
      </c>
    </row>
    <row r="1640" spans="1:10" ht="38.25" x14ac:dyDescent="0.2">
      <c r="A1640" s="96" t="s">
        <v>880</v>
      </c>
      <c r="B1640" s="97" t="s">
        <v>891</v>
      </c>
      <c r="C1640" s="96" t="s">
        <v>31</v>
      </c>
      <c r="D1640" s="96" t="s">
        <v>892</v>
      </c>
      <c r="E1640" s="128" t="s">
        <v>890</v>
      </c>
      <c r="F1640" s="128"/>
      <c r="G1640" s="98" t="s">
        <v>785</v>
      </c>
      <c r="H1640" s="99">
        <v>0.56640000000000001</v>
      </c>
      <c r="I1640" s="100">
        <v>27.55</v>
      </c>
      <c r="J1640" s="100">
        <v>15.6</v>
      </c>
    </row>
    <row r="1641" spans="1:10" ht="38.25" x14ac:dyDescent="0.2">
      <c r="A1641" s="96" t="s">
        <v>880</v>
      </c>
      <c r="B1641" s="97" t="s">
        <v>1299</v>
      </c>
      <c r="C1641" s="96" t="s">
        <v>31</v>
      </c>
      <c r="D1641" s="96" t="s">
        <v>1300</v>
      </c>
      <c r="E1641" s="128" t="s">
        <v>1289</v>
      </c>
      <c r="F1641" s="128"/>
      <c r="G1641" s="98" t="s">
        <v>50</v>
      </c>
      <c r="H1641" s="99">
        <v>3.3E-3</v>
      </c>
      <c r="I1641" s="100">
        <v>544.01</v>
      </c>
      <c r="J1641" s="100">
        <v>1.79</v>
      </c>
    </row>
    <row r="1642" spans="1:10" ht="38.25" x14ac:dyDescent="0.2">
      <c r="A1642" s="96" t="s">
        <v>880</v>
      </c>
      <c r="B1642" s="97" t="s">
        <v>1301</v>
      </c>
      <c r="C1642" s="96" t="s">
        <v>31</v>
      </c>
      <c r="D1642" s="96" t="s">
        <v>1302</v>
      </c>
      <c r="E1642" s="128" t="s">
        <v>883</v>
      </c>
      <c r="F1642" s="128"/>
      <c r="G1642" s="98" t="s">
        <v>887</v>
      </c>
      <c r="H1642" s="99">
        <v>2.7699999999999999E-2</v>
      </c>
      <c r="I1642" s="100">
        <v>20.07</v>
      </c>
      <c r="J1642" s="100">
        <v>0.55000000000000004</v>
      </c>
    </row>
    <row r="1643" spans="1:10" ht="38.25" x14ac:dyDescent="0.2">
      <c r="A1643" s="96" t="s">
        <v>880</v>
      </c>
      <c r="B1643" s="97" t="s">
        <v>1303</v>
      </c>
      <c r="C1643" s="96" t="s">
        <v>31</v>
      </c>
      <c r="D1643" s="96" t="s">
        <v>1304</v>
      </c>
      <c r="E1643" s="128" t="s">
        <v>883</v>
      </c>
      <c r="F1643" s="128"/>
      <c r="G1643" s="98" t="s">
        <v>884</v>
      </c>
      <c r="H1643" s="99">
        <v>0.13830000000000001</v>
      </c>
      <c r="I1643" s="100">
        <v>5.43</v>
      </c>
      <c r="J1643" s="100">
        <v>0.75</v>
      </c>
    </row>
    <row r="1644" spans="1:10" ht="25.5" x14ac:dyDescent="0.2">
      <c r="A1644" s="87" t="s">
        <v>781</v>
      </c>
      <c r="B1644" s="88" t="s">
        <v>1305</v>
      </c>
      <c r="C1644" s="87" t="s">
        <v>31</v>
      </c>
      <c r="D1644" s="87" t="s">
        <v>1306</v>
      </c>
      <c r="E1644" s="126" t="s">
        <v>794</v>
      </c>
      <c r="F1644" s="126"/>
      <c r="G1644" s="89" t="s">
        <v>50</v>
      </c>
      <c r="H1644" s="90">
        <v>1.49E-2</v>
      </c>
      <c r="I1644" s="91">
        <v>78</v>
      </c>
      <c r="J1644" s="91">
        <v>1.1599999999999999</v>
      </c>
    </row>
    <row r="1645" spans="1:10" ht="38.25" x14ac:dyDescent="0.2">
      <c r="A1645" s="87" t="s">
        <v>781</v>
      </c>
      <c r="B1645" s="88" t="s">
        <v>1307</v>
      </c>
      <c r="C1645" s="87" t="s">
        <v>31</v>
      </c>
      <c r="D1645" s="87" t="s">
        <v>1308</v>
      </c>
      <c r="E1645" s="126" t="s">
        <v>794</v>
      </c>
      <c r="F1645" s="126"/>
      <c r="G1645" s="89" t="s">
        <v>50</v>
      </c>
      <c r="H1645" s="90">
        <v>6.7299999999999999E-2</v>
      </c>
      <c r="I1645" s="91">
        <v>420</v>
      </c>
      <c r="J1645" s="91">
        <v>28.26</v>
      </c>
    </row>
    <row r="1646" spans="1:10" ht="38.25" x14ac:dyDescent="0.2">
      <c r="A1646" s="92"/>
      <c r="B1646" s="92"/>
      <c r="C1646" s="92"/>
      <c r="D1646" s="92"/>
      <c r="E1646" s="92" t="s">
        <v>801</v>
      </c>
      <c r="F1646" s="93">
        <v>20.75</v>
      </c>
      <c r="G1646" s="92" t="s">
        <v>802</v>
      </c>
      <c r="H1646" s="93">
        <v>0</v>
      </c>
      <c r="I1646" s="92" t="s">
        <v>803</v>
      </c>
      <c r="J1646" s="93">
        <v>20.75</v>
      </c>
    </row>
    <row r="1647" spans="1:10" ht="38.25" x14ac:dyDescent="0.2">
      <c r="A1647" s="92"/>
      <c r="B1647" s="92"/>
      <c r="C1647" s="92"/>
      <c r="D1647" s="92"/>
      <c r="E1647" s="92" t="s">
        <v>804</v>
      </c>
      <c r="F1647" s="93">
        <v>17.79</v>
      </c>
      <c r="G1647" s="92"/>
      <c r="H1647" s="127" t="s">
        <v>805</v>
      </c>
      <c r="I1647" s="127"/>
      <c r="J1647" s="93">
        <v>79.55</v>
      </c>
    </row>
    <row r="1648" spans="1:10" ht="15" thickBot="1" x14ac:dyDescent="0.25">
      <c r="A1648" s="77"/>
      <c r="B1648" s="77"/>
      <c r="C1648" s="77"/>
      <c r="D1648" s="77"/>
      <c r="E1648" s="77"/>
      <c r="F1648" s="77"/>
      <c r="G1648" s="77" t="s">
        <v>806</v>
      </c>
      <c r="H1648" s="94">
        <v>37</v>
      </c>
      <c r="I1648" s="77" t="s">
        <v>807</v>
      </c>
      <c r="J1648" s="78">
        <v>2943.35</v>
      </c>
    </row>
    <row r="1649" spans="1:10" ht="15" thickTop="1" x14ac:dyDescent="0.2">
      <c r="A1649" s="95"/>
      <c r="B1649" s="95"/>
      <c r="C1649" s="95"/>
      <c r="D1649" s="95"/>
      <c r="E1649" s="95"/>
      <c r="F1649" s="95"/>
      <c r="G1649" s="95"/>
      <c r="H1649" s="95"/>
      <c r="I1649" s="95"/>
      <c r="J1649" s="95"/>
    </row>
    <row r="1650" spans="1:10" ht="15" x14ac:dyDescent="0.2">
      <c r="A1650" s="75" t="s">
        <v>505</v>
      </c>
      <c r="B1650" s="17" t="s">
        <v>11</v>
      </c>
      <c r="C1650" s="75" t="s">
        <v>12</v>
      </c>
      <c r="D1650" s="75" t="s">
        <v>2</v>
      </c>
      <c r="E1650" s="124" t="s">
        <v>779</v>
      </c>
      <c r="F1650" s="124"/>
      <c r="G1650" s="76" t="s">
        <v>3</v>
      </c>
      <c r="H1650" s="17" t="s">
        <v>4</v>
      </c>
      <c r="I1650" s="17" t="s">
        <v>13</v>
      </c>
      <c r="J1650" s="17" t="s">
        <v>17</v>
      </c>
    </row>
    <row r="1651" spans="1:10" ht="51" x14ac:dyDescent="0.2">
      <c r="A1651" s="19" t="s">
        <v>780</v>
      </c>
      <c r="B1651" s="20" t="s">
        <v>506</v>
      </c>
      <c r="C1651" s="19" t="s">
        <v>31</v>
      </c>
      <c r="D1651" s="19" t="s">
        <v>507</v>
      </c>
      <c r="E1651" s="125" t="s">
        <v>1296</v>
      </c>
      <c r="F1651" s="125"/>
      <c r="G1651" s="21" t="s">
        <v>78</v>
      </c>
      <c r="H1651" s="86">
        <v>1</v>
      </c>
      <c r="I1651" s="82">
        <v>77.23</v>
      </c>
      <c r="J1651" s="82">
        <v>77.23</v>
      </c>
    </row>
    <row r="1652" spans="1:10" ht="38.25" x14ac:dyDescent="0.2">
      <c r="A1652" s="96" t="s">
        <v>880</v>
      </c>
      <c r="B1652" s="97" t="s">
        <v>1297</v>
      </c>
      <c r="C1652" s="96" t="s">
        <v>31</v>
      </c>
      <c r="D1652" s="96" t="s">
        <v>1298</v>
      </c>
      <c r="E1652" s="128" t="s">
        <v>890</v>
      </c>
      <c r="F1652" s="128"/>
      <c r="G1652" s="98" t="s">
        <v>785</v>
      </c>
      <c r="H1652" s="99">
        <v>0.15210000000000001</v>
      </c>
      <c r="I1652" s="100">
        <v>28.68</v>
      </c>
      <c r="J1652" s="100">
        <v>4.3600000000000003</v>
      </c>
    </row>
    <row r="1653" spans="1:10" ht="38.25" x14ac:dyDescent="0.2">
      <c r="A1653" s="96" t="s">
        <v>880</v>
      </c>
      <c r="B1653" s="97" t="s">
        <v>888</v>
      </c>
      <c r="C1653" s="96" t="s">
        <v>31</v>
      </c>
      <c r="D1653" s="96" t="s">
        <v>889</v>
      </c>
      <c r="E1653" s="128" t="s">
        <v>890</v>
      </c>
      <c r="F1653" s="128"/>
      <c r="G1653" s="98" t="s">
        <v>785</v>
      </c>
      <c r="H1653" s="99">
        <v>0.26929999999999998</v>
      </c>
      <c r="I1653" s="100">
        <v>31.42</v>
      </c>
      <c r="J1653" s="100">
        <v>8.4600000000000009</v>
      </c>
    </row>
    <row r="1654" spans="1:10" ht="38.25" x14ac:dyDescent="0.2">
      <c r="A1654" s="96" t="s">
        <v>880</v>
      </c>
      <c r="B1654" s="97" t="s">
        <v>891</v>
      </c>
      <c r="C1654" s="96" t="s">
        <v>31</v>
      </c>
      <c r="D1654" s="96" t="s">
        <v>892</v>
      </c>
      <c r="E1654" s="128" t="s">
        <v>890</v>
      </c>
      <c r="F1654" s="128"/>
      <c r="G1654" s="98" t="s">
        <v>785</v>
      </c>
      <c r="H1654" s="99">
        <v>0.53859999999999997</v>
      </c>
      <c r="I1654" s="100">
        <v>27.55</v>
      </c>
      <c r="J1654" s="100">
        <v>14.83</v>
      </c>
    </row>
    <row r="1655" spans="1:10" ht="38.25" x14ac:dyDescent="0.2">
      <c r="A1655" s="96" t="s">
        <v>880</v>
      </c>
      <c r="B1655" s="97" t="s">
        <v>1299</v>
      </c>
      <c r="C1655" s="96" t="s">
        <v>31</v>
      </c>
      <c r="D1655" s="96" t="s">
        <v>1300</v>
      </c>
      <c r="E1655" s="128" t="s">
        <v>1289</v>
      </c>
      <c r="F1655" s="128"/>
      <c r="G1655" s="98" t="s">
        <v>50</v>
      </c>
      <c r="H1655" s="99">
        <v>4.4000000000000003E-3</v>
      </c>
      <c r="I1655" s="100">
        <v>544.01</v>
      </c>
      <c r="J1655" s="100">
        <v>2.39</v>
      </c>
    </row>
    <row r="1656" spans="1:10" ht="38.25" x14ac:dyDescent="0.2">
      <c r="A1656" s="96" t="s">
        <v>880</v>
      </c>
      <c r="B1656" s="97" t="s">
        <v>1301</v>
      </c>
      <c r="C1656" s="96" t="s">
        <v>31</v>
      </c>
      <c r="D1656" s="96" t="s">
        <v>1302</v>
      </c>
      <c r="E1656" s="128" t="s">
        <v>883</v>
      </c>
      <c r="F1656" s="128"/>
      <c r="G1656" s="98" t="s">
        <v>887</v>
      </c>
      <c r="H1656" s="99">
        <v>2.53E-2</v>
      </c>
      <c r="I1656" s="100">
        <v>20.07</v>
      </c>
      <c r="J1656" s="100">
        <v>0.5</v>
      </c>
    </row>
    <row r="1657" spans="1:10" ht="38.25" x14ac:dyDescent="0.2">
      <c r="A1657" s="96" t="s">
        <v>880</v>
      </c>
      <c r="B1657" s="97" t="s">
        <v>1303</v>
      </c>
      <c r="C1657" s="96" t="s">
        <v>31</v>
      </c>
      <c r="D1657" s="96" t="s">
        <v>1304</v>
      </c>
      <c r="E1657" s="128" t="s">
        <v>883</v>
      </c>
      <c r="F1657" s="128"/>
      <c r="G1657" s="98" t="s">
        <v>884</v>
      </c>
      <c r="H1657" s="99">
        <v>0.12670000000000001</v>
      </c>
      <c r="I1657" s="100">
        <v>5.43</v>
      </c>
      <c r="J1657" s="100">
        <v>0.68</v>
      </c>
    </row>
    <row r="1658" spans="1:10" ht="25.5" x14ac:dyDescent="0.2">
      <c r="A1658" s="87" t="s">
        <v>781</v>
      </c>
      <c r="B1658" s="88" t="s">
        <v>1305</v>
      </c>
      <c r="C1658" s="87" t="s">
        <v>31</v>
      </c>
      <c r="D1658" s="87" t="s">
        <v>1306</v>
      </c>
      <c r="E1658" s="126" t="s">
        <v>794</v>
      </c>
      <c r="F1658" s="126"/>
      <c r="G1658" s="89" t="s">
        <v>50</v>
      </c>
      <c r="H1658" s="90">
        <v>1.9800000000000002E-2</v>
      </c>
      <c r="I1658" s="91">
        <v>78</v>
      </c>
      <c r="J1658" s="91">
        <v>1.54</v>
      </c>
    </row>
    <row r="1659" spans="1:10" ht="38.25" x14ac:dyDescent="0.2">
      <c r="A1659" s="87" t="s">
        <v>781</v>
      </c>
      <c r="B1659" s="88" t="s">
        <v>1307</v>
      </c>
      <c r="C1659" s="87" t="s">
        <v>31</v>
      </c>
      <c r="D1659" s="87" t="s">
        <v>1308</v>
      </c>
      <c r="E1659" s="126" t="s">
        <v>794</v>
      </c>
      <c r="F1659" s="126"/>
      <c r="G1659" s="89" t="s">
        <v>50</v>
      </c>
      <c r="H1659" s="90">
        <v>0.10589999999999999</v>
      </c>
      <c r="I1659" s="91">
        <v>420</v>
      </c>
      <c r="J1659" s="91">
        <v>44.47</v>
      </c>
    </row>
    <row r="1660" spans="1:10" ht="38.25" x14ac:dyDescent="0.2">
      <c r="A1660" s="92"/>
      <c r="B1660" s="92"/>
      <c r="C1660" s="92"/>
      <c r="D1660" s="92"/>
      <c r="E1660" s="92" t="s">
        <v>801</v>
      </c>
      <c r="F1660" s="93">
        <v>19.809999999999999</v>
      </c>
      <c r="G1660" s="92" t="s">
        <v>802</v>
      </c>
      <c r="H1660" s="93">
        <v>0</v>
      </c>
      <c r="I1660" s="92" t="s">
        <v>803</v>
      </c>
      <c r="J1660" s="93">
        <v>19.809999999999999</v>
      </c>
    </row>
    <row r="1661" spans="1:10" ht="38.25" x14ac:dyDescent="0.2">
      <c r="A1661" s="92"/>
      <c r="B1661" s="92"/>
      <c r="C1661" s="92"/>
      <c r="D1661" s="92"/>
      <c r="E1661" s="92" t="s">
        <v>804</v>
      </c>
      <c r="F1661" s="93">
        <v>22.25</v>
      </c>
      <c r="G1661" s="92"/>
      <c r="H1661" s="127" t="s">
        <v>805</v>
      </c>
      <c r="I1661" s="127"/>
      <c r="J1661" s="93">
        <v>99.48</v>
      </c>
    </row>
    <row r="1662" spans="1:10" ht="15" thickBot="1" x14ac:dyDescent="0.25">
      <c r="A1662" s="77"/>
      <c r="B1662" s="77"/>
      <c r="C1662" s="77"/>
      <c r="D1662" s="77"/>
      <c r="E1662" s="77"/>
      <c r="F1662" s="77"/>
      <c r="G1662" s="77" t="s">
        <v>806</v>
      </c>
      <c r="H1662" s="94">
        <v>117</v>
      </c>
      <c r="I1662" s="77" t="s">
        <v>807</v>
      </c>
      <c r="J1662" s="78">
        <v>11639.16</v>
      </c>
    </row>
    <row r="1663" spans="1:10" ht="15" thickTop="1" x14ac:dyDescent="0.2">
      <c r="A1663" s="95"/>
      <c r="B1663" s="95"/>
      <c r="C1663" s="95"/>
      <c r="D1663" s="95"/>
      <c r="E1663" s="95"/>
      <c r="F1663" s="95"/>
      <c r="G1663" s="95"/>
      <c r="H1663" s="95"/>
      <c r="I1663" s="95"/>
      <c r="J1663" s="95"/>
    </row>
    <row r="1664" spans="1:10" x14ac:dyDescent="0.2">
      <c r="A1664" s="18" t="s">
        <v>508</v>
      </c>
      <c r="B1664" s="18"/>
      <c r="C1664" s="18"/>
      <c r="D1664" s="18" t="s">
        <v>509</v>
      </c>
      <c r="E1664" s="18"/>
      <c r="F1664" s="122"/>
      <c r="G1664" s="122"/>
      <c r="H1664" s="39"/>
      <c r="I1664" s="18"/>
      <c r="J1664" s="80">
        <v>39496.46</v>
      </c>
    </row>
    <row r="1665" spans="1:10" ht="15" x14ac:dyDescent="0.2">
      <c r="A1665" s="75" t="s">
        <v>510</v>
      </c>
      <c r="B1665" s="17" t="s">
        <v>11</v>
      </c>
      <c r="C1665" s="75" t="s">
        <v>12</v>
      </c>
      <c r="D1665" s="75" t="s">
        <v>2</v>
      </c>
      <c r="E1665" s="124" t="s">
        <v>779</v>
      </c>
      <c r="F1665" s="124"/>
      <c r="G1665" s="76" t="s">
        <v>3</v>
      </c>
      <c r="H1665" s="17" t="s">
        <v>4</v>
      </c>
      <c r="I1665" s="17" t="s">
        <v>13</v>
      </c>
      <c r="J1665" s="17" t="s">
        <v>17</v>
      </c>
    </row>
    <row r="1666" spans="1:10" ht="25.5" x14ac:dyDescent="0.2">
      <c r="A1666" s="19" t="s">
        <v>780</v>
      </c>
      <c r="B1666" s="20" t="s">
        <v>511</v>
      </c>
      <c r="C1666" s="19" t="s">
        <v>15</v>
      </c>
      <c r="D1666" s="19" t="s">
        <v>512</v>
      </c>
      <c r="E1666" s="125">
        <v>54.01</v>
      </c>
      <c r="F1666" s="125"/>
      <c r="G1666" s="21" t="s">
        <v>50</v>
      </c>
      <c r="H1666" s="86">
        <v>1</v>
      </c>
      <c r="I1666" s="82">
        <v>267.85000000000002</v>
      </c>
      <c r="J1666" s="82">
        <v>267.85000000000002</v>
      </c>
    </row>
    <row r="1667" spans="1:10" ht="38.25" x14ac:dyDescent="0.2">
      <c r="A1667" s="87" t="s">
        <v>781</v>
      </c>
      <c r="B1667" s="88" t="s">
        <v>816</v>
      </c>
      <c r="C1667" s="87" t="s">
        <v>15</v>
      </c>
      <c r="D1667" s="87" t="s">
        <v>817</v>
      </c>
      <c r="E1667" s="126" t="s">
        <v>784</v>
      </c>
      <c r="F1667" s="126"/>
      <c r="G1667" s="89" t="s">
        <v>785</v>
      </c>
      <c r="H1667" s="90">
        <v>0.154</v>
      </c>
      <c r="I1667" s="91">
        <v>18.57</v>
      </c>
      <c r="J1667" s="91">
        <v>2.85</v>
      </c>
    </row>
    <row r="1668" spans="1:10" ht="38.25" x14ac:dyDescent="0.2">
      <c r="A1668" s="87" t="s">
        <v>781</v>
      </c>
      <c r="B1668" s="88" t="s">
        <v>1309</v>
      </c>
      <c r="C1668" s="87" t="s">
        <v>15</v>
      </c>
      <c r="D1668" s="87" t="s">
        <v>1310</v>
      </c>
      <c r="E1668" s="126" t="s">
        <v>794</v>
      </c>
      <c r="F1668" s="126"/>
      <c r="G1668" s="89" t="s">
        <v>50</v>
      </c>
      <c r="H1668" s="90">
        <v>1.3</v>
      </c>
      <c r="I1668" s="91">
        <v>176.28</v>
      </c>
      <c r="J1668" s="91">
        <v>229.16</v>
      </c>
    </row>
    <row r="1669" spans="1:10" ht="38.25" x14ac:dyDescent="0.2">
      <c r="A1669" s="87" t="s">
        <v>781</v>
      </c>
      <c r="B1669" s="88" t="s">
        <v>858</v>
      </c>
      <c r="C1669" s="87" t="s">
        <v>15</v>
      </c>
      <c r="D1669" s="87" t="s">
        <v>859</v>
      </c>
      <c r="E1669" s="126" t="s">
        <v>794</v>
      </c>
      <c r="F1669" s="126"/>
      <c r="G1669" s="89" t="s">
        <v>785</v>
      </c>
      <c r="H1669" s="90">
        <v>3.2500000000000001E-2</v>
      </c>
      <c r="I1669" s="91">
        <v>220.53</v>
      </c>
      <c r="J1669" s="91">
        <v>7.16</v>
      </c>
    </row>
    <row r="1670" spans="1:10" ht="38.25" x14ac:dyDescent="0.2">
      <c r="A1670" s="87" t="s">
        <v>781</v>
      </c>
      <c r="B1670" s="88" t="s">
        <v>860</v>
      </c>
      <c r="C1670" s="87" t="s">
        <v>15</v>
      </c>
      <c r="D1670" s="87" t="s">
        <v>861</v>
      </c>
      <c r="E1670" s="126" t="s">
        <v>794</v>
      </c>
      <c r="F1670" s="126"/>
      <c r="G1670" s="89" t="s">
        <v>785</v>
      </c>
      <c r="H1670" s="90">
        <v>4.65E-2</v>
      </c>
      <c r="I1670" s="91">
        <v>300.95999999999998</v>
      </c>
      <c r="J1670" s="91">
        <v>13.99</v>
      </c>
    </row>
    <row r="1671" spans="1:10" ht="38.25" x14ac:dyDescent="0.2">
      <c r="A1671" s="87" t="s">
        <v>781</v>
      </c>
      <c r="B1671" s="88" t="s">
        <v>862</v>
      </c>
      <c r="C1671" s="87" t="s">
        <v>15</v>
      </c>
      <c r="D1671" s="87" t="s">
        <v>863</v>
      </c>
      <c r="E1671" s="126" t="s">
        <v>794</v>
      </c>
      <c r="F1671" s="126"/>
      <c r="G1671" s="89" t="s">
        <v>785</v>
      </c>
      <c r="H1671" s="90">
        <v>7.4999999999999997E-2</v>
      </c>
      <c r="I1671" s="91">
        <v>195.87</v>
      </c>
      <c r="J1671" s="91">
        <v>14.69</v>
      </c>
    </row>
    <row r="1672" spans="1:10" ht="38.25" x14ac:dyDescent="0.2">
      <c r="A1672" s="92"/>
      <c r="B1672" s="92"/>
      <c r="C1672" s="92"/>
      <c r="D1672" s="92"/>
      <c r="E1672" s="92" t="s">
        <v>801</v>
      </c>
      <c r="F1672" s="93">
        <v>2.85</v>
      </c>
      <c r="G1672" s="92" t="s">
        <v>802</v>
      </c>
      <c r="H1672" s="93">
        <v>0</v>
      </c>
      <c r="I1672" s="92" t="s">
        <v>803</v>
      </c>
      <c r="J1672" s="93">
        <v>2.85</v>
      </c>
    </row>
    <row r="1673" spans="1:10" ht="38.25" x14ac:dyDescent="0.2">
      <c r="A1673" s="92"/>
      <c r="B1673" s="92"/>
      <c r="C1673" s="92"/>
      <c r="D1673" s="92"/>
      <c r="E1673" s="92" t="s">
        <v>804</v>
      </c>
      <c r="F1673" s="93">
        <v>77.19</v>
      </c>
      <c r="G1673" s="92"/>
      <c r="H1673" s="127" t="s">
        <v>805</v>
      </c>
      <c r="I1673" s="127"/>
      <c r="J1673" s="93">
        <v>345.04</v>
      </c>
    </row>
    <row r="1674" spans="1:10" ht="15" thickBot="1" x14ac:dyDescent="0.25">
      <c r="A1674" s="77"/>
      <c r="B1674" s="77"/>
      <c r="C1674" s="77"/>
      <c r="D1674" s="77"/>
      <c r="E1674" s="77"/>
      <c r="F1674" s="77"/>
      <c r="G1674" s="77" t="s">
        <v>806</v>
      </c>
      <c r="H1674" s="94">
        <v>18.899999999999999</v>
      </c>
      <c r="I1674" s="77" t="s">
        <v>807</v>
      </c>
      <c r="J1674" s="78">
        <v>6521.25</v>
      </c>
    </row>
    <row r="1675" spans="1:10" ht="15" thickTop="1" x14ac:dyDescent="0.2">
      <c r="A1675" s="95"/>
      <c r="B1675" s="95"/>
      <c r="C1675" s="95"/>
      <c r="D1675" s="95"/>
      <c r="E1675" s="95"/>
      <c r="F1675" s="95"/>
      <c r="G1675" s="95"/>
      <c r="H1675" s="95"/>
      <c r="I1675" s="95"/>
      <c r="J1675" s="95"/>
    </row>
    <row r="1676" spans="1:10" ht="15" x14ac:dyDescent="0.2">
      <c r="A1676" s="75" t="s">
        <v>513</v>
      </c>
      <c r="B1676" s="17" t="s">
        <v>11</v>
      </c>
      <c r="C1676" s="75" t="s">
        <v>12</v>
      </c>
      <c r="D1676" s="75" t="s">
        <v>2</v>
      </c>
      <c r="E1676" s="124" t="s">
        <v>779</v>
      </c>
      <c r="F1676" s="124"/>
      <c r="G1676" s="76" t="s">
        <v>3</v>
      </c>
      <c r="H1676" s="17" t="s">
        <v>4</v>
      </c>
      <c r="I1676" s="17" t="s">
        <v>13</v>
      </c>
      <c r="J1676" s="17" t="s">
        <v>17</v>
      </c>
    </row>
    <row r="1677" spans="1:10" ht="25.5" x14ac:dyDescent="0.2">
      <c r="A1677" s="19" t="s">
        <v>780</v>
      </c>
      <c r="B1677" s="20" t="s">
        <v>514</v>
      </c>
      <c r="C1677" s="19" t="s">
        <v>275</v>
      </c>
      <c r="D1677" s="19" t="s">
        <v>515</v>
      </c>
      <c r="E1677" s="125" t="s">
        <v>1123</v>
      </c>
      <c r="F1677" s="125"/>
      <c r="G1677" s="21" t="s">
        <v>5</v>
      </c>
      <c r="H1677" s="86">
        <v>1</v>
      </c>
      <c r="I1677" s="82">
        <v>109.57</v>
      </c>
      <c r="J1677" s="82">
        <v>109.57</v>
      </c>
    </row>
    <row r="1678" spans="1:10" x14ac:dyDescent="0.2">
      <c r="A1678" s="87" t="s">
        <v>781</v>
      </c>
      <c r="B1678" s="88" t="s">
        <v>1311</v>
      </c>
      <c r="C1678" s="87" t="s">
        <v>275</v>
      </c>
      <c r="D1678" s="87" t="s">
        <v>1312</v>
      </c>
      <c r="E1678" s="126" t="s">
        <v>794</v>
      </c>
      <c r="F1678" s="126"/>
      <c r="G1678" s="89" t="s">
        <v>50</v>
      </c>
      <c r="H1678" s="90">
        <v>5.0000000000000001E-3</v>
      </c>
      <c r="I1678" s="91">
        <v>167.7</v>
      </c>
      <c r="J1678" s="91">
        <v>0.83</v>
      </c>
    </row>
    <row r="1679" spans="1:10" x14ac:dyDescent="0.2">
      <c r="A1679" s="87" t="s">
        <v>781</v>
      </c>
      <c r="B1679" s="88" t="s">
        <v>1313</v>
      </c>
      <c r="C1679" s="87" t="s">
        <v>275</v>
      </c>
      <c r="D1679" s="87" t="s">
        <v>1314</v>
      </c>
      <c r="E1679" s="126" t="s">
        <v>794</v>
      </c>
      <c r="F1679" s="126"/>
      <c r="G1679" s="89" t="s">
        <v>50</v>
      </c>
      <c r="H1679" s="90">
        <v>0.05</v>
      </c>
      <c r="I1679" s="91">
        <v>167.7</v>
      </c>
      <c r="J1679" s="91">
        <v>8.3800000000000008</v>
      </c>
    </row>
    <row r="1680" spans="1:10" x14ac:dyDescent="0.2">
      <c r="A1680" s="87" t="s">
        <v>781</v>
      </c>
      <c r="B1680" s="88" t="s">
        <v>1315</v>
      </c>
      <c r="C1680" s="87" t="s">
        <v>275</v>
      </c>
      <c r="D1680" s="87" t="s">
        <v>1316</v>
      </c>
      <c r="E1680" s="126" t="s">
        <v>1317</v>
      </c>
      <c r="F1680" s="126"/>
      <c r="G1680" s="89" t="s">
        <v>785</v>
      </c>
      <c r="H1680" s="90">
        <v>2.9000000000000001E-2</v>
      </c>
      <c r="I1680" s="91">
        <v>45.05</v>
      </c>
      <c r="J1680" s="91">
        <v>1.3</v>
      </c>
    </row>
    <row r="1681" spans="1:10" ht="25.5" x14ac:dyDescent="0.2">
      <c r="A1681" s="87" t="s">
        <v>781</v>
      </c>
      <c r="B1681" s="88" t="s">
        <v>1318</v>
      </c>
      <c r="C1681" s="87" t="s">
        <v>275</v>
      </c>
      <c r="D1681" s="87" t="s">
        <v>1319</v>
      </c>
      <c r="E1681" s="126" t="s">
        <v>794</v>
      </c>
      <c r="F1681" s="126"/>
      <c r="G1681" s="89" t="s">
        <v>5</v>
      </c>
      <c r="H1681" s="90">
        <v>1.03</v>
      </c>
      <c r="I1681" s="91">
        <v>77.06</v>
      </c>
      <c r="J1681" s="91">
        <v>79.37</v>
      </c>
    </row>
    <row r="1682" spans="1:10" x14ac:dyDescent="0.2">
      <c r="A1682" s="87" t="s">
        <v>781</v>
      </c>
      <c r="B1682" s="88" t="s">
        <v>1320</v>
      </c>
      <c r="C1682" s="87" t="s">
        <v>275</v>
      </c>
      <c r="D1682" s="87" t="s">
        <v>1321</v>
      </c>
      <c r="E1682" s="126" t="s">
        <v>784</v>
      </c>
      <c r="F1682" s="126"/>
      <c r="G1682" s="89" t="s">
        <v>785</v>
      </c>
      <c r="H1682" s="90">
        <v>0.53</v>
      </c>
      <c r="I1682" s="91">
        <v>26.194099999999999</v>
      </c>
      <c r="J1682" s="91">
        <v>13.88</v>
      </c>
    </row>
    <row r="1683" spans="1:10" x14ac:dyDescent="0.2">
      <c r="A1683" s="87" t="s">
        <v>781</v>
      </c>
      <c r="B1683" s="88" t="s">
        <v>1322</v>
      </c>
      <c r="C1683" s="87" t="s">
        <v>275</v>
      </c>
      <c r="D1683" s="87" t="s">
        <v>1323</v>
      </c>
      <c r="E1683" s="126" t="s">
        <v>784</v>
      </c>
      <c r="F1683" s="126"/>
      <c r="G1683" s="89" t="s">
        <v>785</v>
      </c>
      <c r="H1683" s="90">
        <v>0.27</v>
      </c>
      <c r="I1683" s="91">
        <v>21.519100000000002</v>
      </c>
      <c r="J1683" s="91">
        <v>5.81</v>
      </c>
    </row>
    <row r="1684" spans="1:10" ht="38.25" x14ac:dyDescent="0.2">
      <c r="A1684" s="92"/>
      <c r="B1684" s="92"/>
      <c r="C1684" s="92"/>
      <c r="D1684" s="92"/>
      <c r="E1684" s="92" t="s">
        <v>801</v>
      </c>
      <c r="F1684" s="93">
        <v>19.690000000000001</v>
      </c>
      <c r="G1684" s="92" t="s">
        <v>802</v>
      </c>
      <c r="H1684" s="93">
        <v>0</v>
      </c>
      <c r="I1684" s="92" t="s">
        <v>803</v>
      </c>
      <c r="J1684" s="93">
        <v>19.690000000000001</v>
      </c>
    </row>
    <row r="1685" spans="1:10" ht="38.25" x14ac:dyDescent="0.2">
      <c r="A1685" s="92"/>
      <c r="B1685" s="92"/>
      <c r="C1685" s="92"/>
      <c r="D1685" s="92"/>
      <c r="E1685" s="92" t="s">
        <v>804</v>
      </c>
      <c r="F1685" s="93">
        <v>31.57</v>
      </c>
      <c r="G1685" s="92"/>
      <c r="H1685" s="127" t="s">
        <v>805</v>
      </c>
      <c r="I1685" s="127"/>
      <c r="J1685" s="93">
        <v>141.13999999999999</v>
      </c>
    </row>
    <row r="1686" spans="1:10" ht="15" thickBot="1" x14ac:dyDescent="0.25">
      <c r="A1686" s="77"/>
      <c r="B1686" s="77"/>
      <c r="C1686" s="77"/>
      <c r="D1686" s="77"/>
      <c r="E1686" s="77"/>
      <c r="F1686" s="77"/>
      <c r="G1686" s="77" t="s">
        <v>806</v>
      </c>
      <c r="H1686" s="94">
        <v>189</v>
      </c>
      <c r="I1686" s="77" t="s">
        <v>807</v>
      </c>
      <c r="J1686" s="78">
        <v>26675.46</v>
      </c>
    </row>
    <row r="1687" spans="1:10" ht="15" thickTop="1" x14ac:dyDescent="0.2">
      <c r="A1687" s="95"/>
      <c r="B1687" s="95"/>
      <c r="C1687" s="95"/>
      <c r="D1687" s="95"/>
      <c r="E1687" s="95"/>
      <c r="F1687" s="95"/>
      <c r="G1687" s="95"/>
      <c r="H1687" s="95"/>
      <c r="I1687" s="95"/>
      <c r="J1687" s="95"/>
    </row>
    <row r="1688" spans="1:10" ht="15" x14ac:dyDescent="0.2">
      <c r="A1688" s="75" t="s">
        <v>516</v>
      </c>
      <c r="B1688" s="17" t="s">
        <v>11</v>
      </c>
      <c r="C1688" s="75" t="s">
        <v>12</v>
      </c>
      <c r="D1688" s="75" t="s">
        <v>2</v>
      </c>
      <c r="E1688" s="124" t="s">
        <v>779</v>
      </c>
      <c r="F1688" s="124"/>
      <c r="G1688" s="76" t="s">
        <v>3</v>
      </c>
      <c r="H1688" s="17" t="s">
        <v>4</v>
      </c>
      <c r="I1688" s="17" t="s">
        <v>13</v>
      </c>
      <c r="J1688" s="17" t="s">
        <v>17</v>
      </c>
    </row>
    <row r="1689" spans="1:10" ht="25.5" x14ac:dyDescent="0.2">
      <c r="A1689" s="19" t="s">
        <v>780</v>
      </c>
      <c r="B1689" s="20" t="s">
        <v>517</v>
      </c>
      <c r="C1689" s="19" t="s">
        <v>15</v>
      </c>
      <c r="D1689" s="19" t="s">
        <v>518</v>
      </c>
      <c r="E1689" s="125">
        <v>54.06</v>
      </c>
      <c r="F1689" s="125"/>
      <c r="G1689" s="21" t="s">
        <v>50</v>
      </c>
      <c r="H1689" s="86">
        <v>1</v>
      </c>
      <c r="I1689" s="82">
        <v>857.96</v>
      </c>
      <c r="J1689" s="82">
        <v>857.96</v>
      </c>
    </row>
    <row r="1690" spans="1:10" ht="38.25" x14ac:dyDescent="0.2">
      <c r="A1690" s="87" t="s">
        <v>781</v>
      </c>
      <c r="B1690" s="88" t="s">
        <v>832</v>
      </c>
      <c r="C1690" s="87" t="s">
        <v>15</v>
      </c>
      <c r="D1690" s="87" t="s">
        <v>833</v>
      </c>
      <c r="E1690" s="126" t="s">
        <v>784</v>
      </c>
      <c r="F1690" s="126"/>
      <c r="G1690" s="89" t="s">
        <v>785</v>
      </c>
      <c r="H1690" s="90">
        <v>2</v>
      </c>
      <c r="I1690" s="91">
        <v>22.61</v>
      </c>
      <c r="J1690" s="91">
        <v>45.22</v>
      </c>
    </row>
    <row r="1691" spans="1:10" ht="38.25" x14ac:dyDescent="0.2">
      <c r="A1691" s="87" t="s">
        <v>781</v>
      </c>
      <c r="B1691" s="88" t="s">
        <v>816</v>
      </c>
      <c r="C1691" s="87" t="s">
        <v>15</v>
      </c>
      <c r="D1691" s="87" t="s">
        <v>817</v>
      </c>
      <c r="E1691" s="126" t="s">
        <v>784</v>
      </c>
      <c r="F1691" s="126"/>
      <c r="G1691" s="89" t="s">
        <v>785</v>
      </c>
      <c r="H1691" s="90">
        <v>2</v>
      </c>
      <c r="I1691" s="91">
        <v>18.57</v>
      </c>
      <c r="J1691" s="91">
        <v>37.14</v>
      </c>
    </row>
    <row r="1692" spans="1:10" ht="38.25" x14ac:dyDescent="0.2">
      <c r="A1692" s="87" t="s">
        <v>781</v>
      </c>
      <c r="B1692" s="88" t="s">
        <v>1324</v>
      </c>
      <c r="C1692" s="87" t="s">
        <v>15</v>
      </c>
      <c r="D1692" s="87" t="s">
        <v>1325</v>
      </c>
      <c r="E1692" s="126" t="s">
        <v>794</v>
      </c>
      <c r="F1692" s="126"/>
      <c r="G1692" s="89" t="s">
        <v>50</v>
      </c>
      <c r="H1692" s="90">
        <v>0.30299999999999999</v>
      </c>
      <c r="I1692" s="91">
        <v>145.66</v>
      </c>
      <c r="J1692" s="91">
        <v>44.13</v>
      </c>
    </row>
    <row r="1693" spans="1:10" ht="38.25" x14ac:dyDescent="0.2">
      <c r="A1693" s="87" t="s">
        <v>781</v>
      </c>
      <c r="B1693" s="88" t="s">
        <v>1326</v>
      </c>
      <c r="C1693" s="87" t="s">
        <v>15</v>
      </c>
      <c r="D1693" s="87" t="s">
        <v>1327</v>
      </c>
      <c r="E1693" s="126" t="s">
        <v>794</v>
      </c>
      <c r="F1693" s="126"/>
      <c r="G1693" s="89" t="s">
        <v>50</v>
      </c>
      <c r="H1693" s="90">
        <v>1.03</v>
      </c>
      <c r="I1693" s="91">
        <v>462.99</v>
      </c>
      <c r="J1693" s="91">
        <v>476.87</v>
      </c>
    </row>
    <row r="1694" spans="1:10" ht="38.25" x14ac:dyDescent="0.2">
      <c r="A1694" s="87" t="s">
        <v>781</v>
      </c>
      <c r="B1694" s="88" t="s">
        <v>818</v>
      </c>
      <c r="C1694" s="87" t="s">
        <v>15</v>
      </c>
      <c r="D1694" s="87" t="s">
        <v>819</v>
      </c>
      <c r="E1694" s="126" t="s">
        <v>794</v>
      </c>
      <c r="F1694" s="126"/>
      <c r="G1694" s="89" t="s">
        <v>5</v>
      </c>
      <c r="H1694" s="90">
        <v>2.2574999999999998</v>
      </c>
      <c r="I1694" s="91">
        <v>112.78</v>
      </c>
      <c r="J1694" s="91">
        <v>254.6</v>
      </c>
    </row>
    <row r="1695" spans="1:10" ht="38.25" x14ac:dyDescent="0.2">
      <c r="A1695" s="92"/>
      <c r="B1695" s="92"/>
      <c r="C1695" s="92"/>
      <c r="D1695" s="92"/>
      <c r="E1695" s="92" t="s">
        <v>801</v>
      </c>
      <c r="F1695" s="93">
        <v>82.36</v>
      </c>
      <c r="G1695" s="92" t="s">
        <v>802</v>
      </c>
      <c r="H1695" s="93">
        <v>0</v>
      </c>
      <c r="I1695" s="92" t="s">
        <v>803</v>
      </c>
      <c r="J1695" s="93">
        <v>82.36</v>
      </c>
    </row>
    <row r="1696" spans="1:10" ht="38.25" x14ac:dyDescent="0.2">
      <c r="A1696" s="92"/>
      <c r="B1696" s="92"/>
      <c r="C1696" s="92"/>
      <c r="D1696" s="92"/>
      <c r="E1696" s="92" t="s">
        <v>804</v>
      </c>
      <c r="F1696" s="93">
        <v>247.26</v>
      </c>
      <c r="G1696" s="92"/>
      <c r="H1696" s="127" t="s">
        <v>805</v>
      </c>
      <c r="I1696" s="127"/>
      <c r="J1696" s="93">
        <v>1105.22</v>
      </c>
    </row>
    <row r="1697" spans="1:10" ht="15" thickBot="1" x14ac:dyDescent="0.25">
      <c r="A1697" s="77"/>
      <c r="B1697" s="77"/>
      <c r="C1697" s="77"/>
      <c r="D1697" s="77"/>
      <c r="E1697" s="77"/>
      <c r="F1697" s="77"/>
      <c r="G1697" s="77" t="s">
        <v>806</v>
      </c>
      <c r="H1697" s="94">
        <v>5.7</v>
      </c>
      <c r="I1697" s="77" t="s">
        <v>807</v>
      </c>
      <c r="J1697" s="78">
        <v>6299.75</v>
      </c>
    </row>
    <row r="1698" spans="1:10" ht="15" thickTop="1" x14ac:dyDescent="0.2">
      <c r="A1698" s="95"/>
      <c r="B1698" s="95"/>
      <c r="C1698" s="95"/>
      <c r="D1698" s="95"/>
      <c r="E1698" s="95"/>
      <c r="F1698" s="95"/>
      <c r="G1698" s="95"/>
      <c r="H1698" s="95"/>
      <c r="I1698" s="95"/>
      <c r="J1698" s="95"/>
    </row>
    <row r="1699" spans="1:10" x14ac:dyDescent="0.2">
      <c r="A1699" s="18" t="s">
        <v>519</v>
      </c>
      <c r="B1699" s="18"/>
      <c r="C1699" s="18"/>
      <c r="D1699" s="18" t="s">
        <v>520</v>
      </c>
      <c r="E1699" s="18"/>
      <c r="F1699" s="122"/>
      <c r="G1699" s="122"/>
      <c r="H1699" s="39"/>
      <c r="I1699" s="18"/>
      <c r="J1699" s="80">
        <v>16625.580000000002</v>
      </c>
    </row>
    <row r="1700" spans="1:10" ht="15" x14ac:dyDescent="0.2">
      <c r="A1700" s="75" t="s">
        <v>521</v>
      </c>
      <c r="B1700" s="17" t="s">
        <v>11</v>
      </c>
      <c r="C1700" s="75" t="s">
        <v>12</v>
      </c>
      <c r="D1700" s="75" t="s">
        <v>2</v>
      </c>
      <c r="E1700" s="124" t="s">
        <v>779</v>
      </c>
      <c r="F1700" s="124"/>
      <c r="G1700" s="76" t="s">
        <v>3</v>
      </c>
      <c r="H1700" s="17" t="s">
        <v>4</v>
      </c>
      <c r="I1700" s="17" t="s">
        <v>13</v>
      </c>
      <c r="J1700" s="17" t="s">
        <v>17</v>
      </c>
    </row>
    <row r="1701" spans="1:10" ht="25.5" x14ac:dyDescent="0.2">
      <c r="A1701" s="19" t="s">
        <v>780</v>
      </c>
      <c r="B1701" s="20" t="s">
        <v>522</v>
      </c>
      <c r="C1701" s="19" t="s">
        <v>15</v>
      </c>
      <c r="D1701" s="19" t="s">
        <v>523</v>
      </c>
      <c r="E1701" s="125">
        <v>33.1</v>
      </c>
      <c r="F1701" s="125"/>
      <c r="G1701" s="21" t="s">
        <v>5</v>
      </c>
      <c r="H1701" s="86">
        <v>1</v>
      </c>
      <c r="I1701" s="82">
        <v>31.05</v>
      </c>
      <c r="J1701" s="82">
        <v>31.05</v>
      </c>
    </row>
    <row r="1702" spans="1:10" ht="38.25" x14ac:dyDescent="0.2">
      <c r="A1702" s="87" t="s">
        <v>781</v>
      </c>
      <c r="B1702" s="88" t="s">
        <v>786</v>
      </c>
      <c r="C1702" s="87" t="s">
        <v>15</v>
      </c>
      <c r="D1702" s="87" t="s">
        <v>787</v>
      </c>
      <c r="E1702" s="126" t="s">
        <v>784</v>
      </c>
      <c r="F1702" s="126"/>
      <c r="G1702" s="89" t="s">
        <v>785</v>
      </c>
      <c r="H1702" s="90">
        <v>0.45</v>
      </c>
      <c r="I1702" s="91">
        <v>27.08</v>
      </c>
      <c r="J1702" s="91">
        <v>12.18</v>
      </c>
    </row>
    <row r="1703" spans="1:10" ht="38.25" x14ac:dyDescent="0.2">
      <c r="A1703" s="87" t="s">
        <v>781</v>
      </c>
      <c r="B1703" s="88" t="s">
        <v>788</v>
      </c>
      <c r="C1703" s="87" t="s">
        <v>15</v>
      </c>
      <c r="D1703" s="87" t="s">
        <v>789</v>
      </c>
      <c r="E1703" s="126" t="s">
        <v>784</v>
      </c>
      <c r="F1703" s="126"/>
      <c r="G1703" s="89" t="s">
        <v>785</v>
      </c>
      <c r="H1703" s="90">
        <v>0.4</v>
      </c>
      <c r="I1703" s="91">
        <v>18.57</v>
      </c>
      <c r="J1703" s="91">
        <v>7.42</v>
      </c>
    </row>
    <row r="1704" spans="1:10" ht="38.25" x14ac:dyDescent="0.2">
      <c r="A1704" s="87" t="s">
        <v>781</v>
      </c>
      <c r="B1704" s="88" t="s">
        <v>1328</v>
      </c>
      <c r="C1704" s="87" t="s">
        <v>15</v>
      </c>
      <c r="D1704" s="87" t="s">
        <v>1329</v>
      </c>
      <c r="E1704" s="126" t="s">
        <v>794</v>
      </c>
      <c r="F1704" s="126"/>
      <c r="G1704" s="89" t="s">
        <v>720</v>
      </c>
      <c r="H1704" s="90">
        <v>0.24</v>
      </c>
      <c r="I1704" s="91">
        <v>13.87</v>
      </c>
      <c r="J1704" s="91">
        <v>3.32</v>
      </c>
    </row>
    <row r="1705" spans="1:10" ht="38.25" x14ac:dyDescent="0.2">
      <c r="A1705" s="87" t="s">
        <v>781</v>
      </c>
      <c r="B1705" s="88" t="s">
        <v>1330</v>
      </c>
      <c r="C1705" s="87" t="s">
        <v>15</v>
      </c>
      <c r="D1705" s="87" t="s">
        <v>1331</v>
      </c>
      <c r="E1705" s="126" t="s">
        <v>794</v>
      </c>
      <c r="F1705" s="126"/>
      <c r="G1705" s="89" t="s">
        <v>720</v>
      </c>
      <c r="H1705" s="90">
        <v>0.25</v>
      </c>
      <c r="I1705" s="91">
        <v>31.7</v>
      </c>
      <c r="J1705" s="91">
        <v>7.92</v>
      </c>
    </row>
    <row r="1706" spans="1:10" ht="38.25" x14ac:dyDescent="0.2">
      <c r="A1706" s="87" t="s">
        <v>781</v>
      </c>
      <c r="B1706" s="88" t="s">
        <v>1332</v>
      </c>
      <c r="C1706" s="87" t="s">
        <v>15</v>
      </c>
      <c r="D1706" s="87" t="s">
        <v>1333</v>
      </c>
      <c r="E1706" s="126" t="s">
        <v>794</v>
      </c>
      <c r="F1706" s="126"/>
      <c r="G1706" s="89" t="s">
        <v>32</v>
      </c>
      <c r="H1706" s="90">
        <v>0.3</v>
      </c>
      <c r="I1706" s="91">
        <v>0.72</v>
      </c>
      <c r="J1706" s="91">
        <v>0.21</v>
      </c>
    </row>
    <row r="1707" spans="1:10" ht="38.25" x14ac:dyDescent="0.2">
      <c r="A1707" s="92"/>
      <c r="B1707" s="92"/>
      <c r="C1707" s="92"/>
      <c r="D1707" s="92"/>
      <c r="E1707" s="92" t="s">
        <v>801</v>
      </c>
      <c r="F1707" s="93">
        <v>19.600000000000001</v>
      </c>
      <c r="G1707" s="92" t="s">
        <v>802</v>
      </c>
      <c r="H1707" s="93">
        <v>0</v>
      </c>
      <c r="I1707" s="92" t="s">
        <v>803</v>
      </c>
      <c r="J1707" s="93">
        <v>19.600000000000001</v>
      </c>
    </row>
    <row r="1708" spans="1:10" ht="38.25" x14ac:dyDescent="0.2">
      <c r="A1708" s="92"/>
      <c r="B1708" s="92"/>
      <c r="C1708" s="92"/>
      <c r="D1708" s="92"/>
      <c r="E1708" s="92" t="s">
        <v>804</v>
      </c>
      <c r="F1708" s="93">
        <v>8.94</v>
      </c>
      <c r="G1708" s="92"/>
      <c r="H1708" s="127" t="s">
        <v>805</v>
      </c>
      <c r="I1708" s="127"/>
      <c r="J1708" s="93">
        <v>39.99</v>
      </c>
    </row>
    <row r="1709" spans="1:10" ht="15" thickBot="1" x14ac:dyDescent="0.25">
      <c r="A1709" s="77"/>
      <c r="B1709" s="77"/>
      <c r="C1709" s="77"/>
      <c r="D1709" s="77"/>
      <c r="E1709" s="77"/>
      <c r="F1709" s="77"/>
      <c r="G1709" s="77" t="s">
        <v>806</v>
      </c>
      <c r="H1709" s="94">
        <v>153.72</v>
      </c>
      <c r="I1709" s="77" t="s">
        <v>807</v>
      </c>
      <c r="J1709" s="78">
        <v>6147.26</v>
      </c>
    </row>
    <row r="1710" spans="1:10" ht="15" thickTop="1" x14ac:dyDescent="0.2">
      <c r="A1710" s="95"/>
      <c r="B1710" s="95"/>
      <c r="C1710" s="95"/>
      <c r="D1710" s="95"/>
      <c r="E1710" s="95"/>
      <c r="F1710" s="95"/>
      <c r="G1710" s="95"/>
      <c r="H1710" s="95"/>
      <c r="I1710" s="95"/>
      <c r="J1710" s="95"/>
    </row>
    <row r="1711" spans="1:10" ht="15" x14ac:dyDescent="0.2">
      <c r="A1711" s="75" t="s">
        <v>524</v>
      </c>
      <c r="B1711" s="17" t="s">
        <v>11</v>
      </c>
      <c r="C1711" s="75" t="s">
        <v>12</v>
      </c>
      <c r="D1711" s="75" t="s">
        <v>2</v>
      </c>
      <c r="E1711" s="124" t="s">
        <v>779</v>
      </c>
      <c r="F1711" s="124"/>
      <c r="G1711" s="76" t="s">
        <v>3</v>
      </c>
      <c r="H1711" s="17" t="s">
        <v>4</v>
      </c>
      <c r="I1711" s="17" t="s">
        <v>13</v>
      </c>
      <c r="J1711" s="17" t="s">
        <v>17</v>
      </c>
    </row>
    <row r="1712" spans="1:10" ht="25.5" x14ac:dyDescent="0.2">
      <c r="A1712" s="19" t="s">
        <v>780</v>
      </c>
      <c r="B1712" s="20" t="s">
        <v>525</v>
      </c>
      <c r="C1712" s="19" t="s">
        <v>15</v>
      </c>
      <c r="D1712" s="19" t="s">
        <v>526</v>
      </c>
      <c r="E1712" s="125">
        <v>33.11</v>
      </c>
      <c r="F1712" s="125"/>
      <c r="G1712" s="21" t="s">
        <v>5</v>
      </c>
      <c r="H1712" s="86">
        <v>1</v>
      </c>
      <c r="I1712" s="82">
        <v>45.1</v>
      </c>
      <c r="J1712" s="82">
        <v>45.1</v>
      </c>
    </row>
    <row r="1713" spans="1:10" ht="38.25" x14ac:dyDescent="0.2">
      <c r="A1713" s="87" t="s">
        <v>781</v>
      </c>
      <c r="B1713" s="88" t="s">
        <v>786</v>
      </c>
      <c r="C1713" s="87" t="s">
        <v>15</v>
      </c>
      <c r="D1713" s="87" t="s">
        <v>787</v>
      </c>
      <c r="E1713" s="126" t="s">
        <v>784</v>
      </c>
      <c r="F1713" s="126"/>
      <c r="G1713" s="89" t="s">
        <v>785</v>
      </c>
      <c r="H1713" s="90">
        <v>0.6</v>
      </c>
      <c r="I1713" s="91">
        <v>27.08</v>
      </c>
      <c r="J1713" s="91">
        <v>16.239999999999998</v>
      </c>
    </row>
    <row r="1714" spans="1:10" ht="38.25" x14ac:dyDescent="0.2">
      <c r="A1714" s="87" t="s">
        <v>781</v>
      </c>
      <c r="B1714" s="88" t="s">
        <v>788</v>
      </c>
      <c r="C1714" s="87" t="s">
        <v>15</v>
      </c>
      <c r="D1714" s="87" t="s">
        <v>789</v>
      </c>
      <c r="E1714" s="126" t="s">
        <v>784</v>
      </c>
      <c r="F1714" s="126"/>
      <c r="G1714" s="89" t="s">
        <v>785</v>
      </c>
      <c r="H1714" s="90">
        <v>0.6</v>
      </c>
      <c r="I1714" s="91">
        <v>18.57</v>
      </c>
      <c r="J1714" s="91">
        <v>11.14</v>
      </c>
    </row>
    <row r="1715" spans="1:10" ht="38.25" x14ac:dyDescent="0.2">
      <c r="A1715" s="87" t="s">
        <v>781</v>
      </c>
      <c r="B1715" s="88" t="s">
        <v>1334</v>
      </c>
      <c r="C1715" s="87" t="s">
        <v>15</v>
      </c>
      <c r="D1715" s="87" t="s">
        <v>1335</v>
      </c>
      <c r="E1715" s="126" t="s">
        <v>794</v>
      </c>
      <c r="F1715" s="126"/>
      <c r="G1715" s="89" t="s">
        <v>720</v>
      </c>
      <c r="H1715" s="90">
        <v>0.2</v>
      </c>
      <c r="I1715" s="91">
        <v>39.130000000000003</v>
      </c>
      <c r="J1715" s="91">
        <v>7.82</v>
      </c>
    </row>
    <row r="1716" spans="1:10" ht="38.25" x14ac:dyDescent="0.2">
      <c r="A1716" s="87" t="s">
        <v>781</v>
      </c>
      <c r="B1716" s="88" t="s">
        <v>1336</v>
      </c>
      <c r="C1716" s="87" t="s">
        <v>15</v>
      </c>
      <c r="D1716" s="87" t="s">
        <v>1337</v>
      </c>
      <c r="E1716" s="126" t="s">
        <v>794</v>
      </c>
      <c r="F1716" s="126"/>
      <c r="G1716" s="89" t="s">
        <v>720</v>
      </c>
      <c r="H1716" s="90">
        <v>0.25</v>
      </c>
      <c r="I1716" s="91">
        <v>37.17</v>
      </c>
      <c r="J1716" s="91">
        <v>9.2899999999999991</v>
      </c>
    </row>
    <row r="1717" spans="1:10" ht="38.25" x14ac:dyDescent="0.2">
      <c r="A1717" s="87" t="s">
        <v>781</v>
      </c>
      <c r="B1717" s="88" t="s">
        <v>991</v>
      </c>
      <c r="C1717" s="87" t="s">
        <v>15</v>
      </c>
      <c r="D1717" s="87" t="s">
        <v>992</v>
      </c>
      <c r="E1717" s="126" t="s">
        <v>794</v>
      </c>
      <c r="F1717" s="126"/>
      <c r="G1717" s="89" t="s">
        <v>32</v>
      </c>
      <c r="H1717" s="90">
        <v>0.3</v>
      </c>
      <c r="I1717" s="91">
        <v>2.04</v>
      </c>
      <c r="J1717" s="91">
        <v>0.61</v>
      </c>
    </row>
    <row r="1718" spans="1:10" ht="38.25" x14ac:dyDescent="0.2">
      <c r="A1718" s="92"/>
      <c r="B1718" s="92"/>
      <c r="C1718" s="92"/>
      <c r="D1718" s="92"/>
      <c r="E1718" s="92" t="s">
        <v>801</v>
      </c>
      <c r="F1718" s="93">
        <v>27.38</v>
      </c>
      <c r="G1718" s="92" t="s">
        <v>802</v>
      </c>
      <c r="H1718" s="93">
        <v>0</v>
      </c>
      <c r="I1718" s="92" t="s">
        <v>803</v>
      </c>
      <c r="J1718" s="93">
        <v>27.38</v>
      </c>
    </row>
    <row r="1719" spans="1:10" ht="38.25" x14ac:dyDescent="0.2">
      <c r="A1719" s="92"/>
      <c r="B1719" s="92"/>
      <c r="C1719" s="92"/>
      <c r="D1719" s="92"/>
      <c r="E1719" s="92" t="s">
        <v>804</v>
      </c>
      <c r="F1719" s="93">
        <v>12.99</v>
      </c>
      <c r="G1719" s="92"/>
      <c r="H1719" s="127" t="s">
        <v>805</v>
      </c>
      <c r="I1719" s="127"/>
      <c r="J1719" s="93">
        <v>58.09</v>
      </c>
    </row>
    <row r="1720" spans="1:10" ht="15" thickBot="1" x14ac:dyDescent="0.25">
      <c r="A1720" s="77"/>
      <c r="B1720" s="77"/>
      <c r="C1720" s="77"/>
      <c r="D1720" s="77"/>
      <c r="E1720" s="77"/>
      <c r="F1720" s="77"/>
      <c r="G1720" s="77" t="s">
        <v>806</v>
      </c>
      <c r="H1720" s="94">
        <v>6.07</v>
      </c>
      <c r="I1720" s="77" t="s">
        <v>807</v>
      </c>
      <c r="J1720" s="78">
        <v>352.6</v>
      </c>
    </row>
    <row r="1721" spans="1:10" ht="15" thickTop="1" x14ac:dyDescent="0.2">
      <c r="A1721" s="95"/>
      <c r="B1721" s="95"/>
      <c r="C1721" s="95"/>
      <c r="D1721" s="95"/>
      <c r="E1721" s="95"/>
      <c r="F1721" s="95"/>
      <c r="G1721" s="95"/>
      <c r="H1721" s="95"/>
      <c r="I1721" s="95"/>
      <c r="J1721" s="95"/>
    </row>
    <row r="1722" spans="1:10" ht="15" x14ac:dyDescent="0.2">
      <c r="A1722" s="75" t="s">
        <v>663</v>
      </c>
      <c r="B1722" s="17" t="s">
        <v>11</v>
      </c>
      <c r="C1722" s="75" t="s">
        <v>12</v>
      </c>
      <c r="D1722" s="75" t="s">
        <v>2</v>
      </c>
      <c r="E1722" s="124" t="s">
        <v>779</v>
      </c>
      <c r="F1722" s="124"/>
      <c r="G1722" s="76" t="s">
        <v>3</v>
      </c>
      <c r="H1722" s="17" t="s">
        <v>4</v>
      </c>
      <c r="I1722" s="17" t="s">
        <v>13</v>
      </c>
      <c r="J1722" s="17" t="s">
        <v>17</v>
      </c>
    </row>
    <row r="1723" spans="1:10" ht="25.5" x14ac:dyDescent="0.2">
      <c r="A1723" s="19" t="s">
        <v>780</v>
      </c>
      <c r="B1723" s="20" t="s">
        <v>694</v>
      </c>
      <c r="C1723" s="19" t="s">
        <v>15</v>
      </c>
      <c r="D1723" s="19" t="s">
        <v>695</v>
      </c>
      <c r="E1723" s="125">
        <v>33.119999999999997</v>
      </c>
      <c r="F1723" s="125"/>
      <c r="G1723" s="21" t="s">
        <v>5</v>
      </c>
      <c r="H1723" s="86">
        <v>1</v>
      </c>
      <c r="I1723" s="82">
        <v>45.51</v>
      </c>
      <c r="J1723" s="82">
        <v>45.51</v>
      </c>
    </row>
    <row r="1724" spans="1:10" ht="38.25" x14ac:dyDescent="0.2">
      <c r="A1724" s="87" t="s">
        <v>781</v>
      </c>
      <c r="B1724" s="88" t="s">
        <v>786</v>
      </c>
      <c r="C1724" s="87" t="s">
        <v>15</v>
      </c>
      <c r="D1724" s="87" t="s">
        <v>787</v>
      </c>
      <c r="E1724" s="126" t="s">
        <v>784</v>
      </c>
      <c r="F1724" s="126"/>
      <c r="G1724" s="89" t="s">
        <v>785</v>
      </c>
      <c r="H1724" s="90">
        <v>0.6</v>
      </c>
      <c r="I1724" s="91">
        <v>27.08</v>
      </c>
      <c r="J1724" s="91">
        <v>16.239999999999998</v>
      </c>
    </row>
    <row r="1725" spans="1:10" ht="38.25" x14ac:dyDescent="0.2">
      <c r="A1725" s="87" t="s">
        <v>781</v>
      </c>
      <c r="B1725" s="88" t="s">
        <v>788</v>
      </c>
      <c r="C1725" s="87" t="s">
        <v>15</v>
      </c>
      <c r="D1725" s="87" t="s">
        <v>789</v>
      </c>
      <c r="E1725" s="126" t="s">
        <v>784</v>
      </c>
      <c r="F1725" s="126"/>
      <c r="G1725" s="89" t="s">
        <v>785</v>
      </c>
      <c r="H1725" s="90">
        <v>0.6</v>
      </c>
      <c r="I1725" s="91">
        <v>18.57</v>
      </c>
      <c r="J1725" s="91">
        <v>11.14</v>
      </c>
    </row>
    <row r="1726" spans="1:10" ht="38.25" x14ac:dyDescent="0.2">
      <c r="A1726" s="87" t="s">
        <v>781</v>
      </c>
      <c r="B1726" s="88" t="s">
        <v>1336</v>
      </c>
      <c r="C1726" s="87" t="s">
        <v>15</v>
      </c>
      <c r="D1726" s="87" t="s">
        <v>1337</v>
      </c>
      <c r="E1726" s="126" t="s">
        <v>794</v>
      </c>
      <c r="F1726" s="126"/>
      <c r="G1726" s="89" t="s">
        <v>720</v>
      </c>
      <c r="H1726" s="90">
        <v>0.25</v>
      </c>
      <c r="I1726" s="91">
        <v>37.17</v>
      </c>
      <c r="J1726" s="91">
        <v>9.2899999999999991</v>
      </c>
    </row>
    <row r="1727" spans="1:10" ht="38.25" x14ac:dyDescent="0.2">
      <c r="A1727" s="87" t="s">
        <v>781</v>
      </c>
      <c r="B1727" s="88" t="s">
        <v>1334</v>
      </c>
      <c r="C1727" s="87" t="s">
        <v>15</v>
      </c>
      <c r="D1727" s="87" t="s">
        <v>1335</v>
      </c>
      <c r="E1727" s="126" t="s">
        <v>794</v>
      </c>
      <c r="F1727" s="126"/>
      <c r="G1727" s="89" t="s">
        <v>720</v>
      </c>
      <c r="H1727" s="90">
        <v>0.2</v>
      </c>
      <c r="I1727" s="91">
        <v>39.130000000000003</v>
      </c>
      <c r="J1727" s="91">
        <v>7.82</v>
      </c>
    </row>
    <row r="1728" spans="1:10" ht="38.25" x14ac:dyDescent="0.2">
      <c r="A1728" s="87" t="s">
        <v>781</v>
      </c>
      <c r="B1728" s="88" t="s">
        <v>991</v>
      </c>
      <c r="C1728" s="87" t="s">
        <v>15</v>
      </c>
      <c r="D1728" s="87" t="s">
        <v>992</v>
      </c>
      <c r="E1728" s="126" t="s">
        <v>794</v>
      </c>
      <c r="F1728" s="126"/>
      <c r="G1728" s="89" t="s">
        <v>32</v>
      </c>
      <c r="H1728" s="90">
        <v>0.5</v>
      </c>
      <c r="I1728" s="91">
        <v>2.04</v>
      </c>
      <c r="J1728" s="91">
        <v>1.02</v>
      </c>
    </row>
    <row r="1729" spans="1:10" ht="38.25" x14ac:dyDescent="0.2">
      <c r="A1729" s="92"/>
      <c r="B1729" s="92"/>
      <c r="C1729" s="92"/>
      <c r="D1729" s="92"/>
      <c r="E1729" s="92" t="s">
        <v>801</v>
      </c>
      <c r="F1729" s="93">
        <v>27.38</v>
      </c>
      <c r="G1729" s="92" t="s">
        <v>802</v>
      </c>
      <c r="H1729" s="93">
        <v>0</v>
      </c>
      <c r="I1729" s="92" t="s">
        <v>803</v>
      </c>
      <c r="J1729" s="93">
        <v>27.38</v>
      </c>
    </row>
    <row r="1730" spans="1:10" ht="38.25" x14ac:dyDescent="0.2">
      <c r="A1730" s="92"/>
      <c r="B1730" s="92"/>
      <c r="C1730" s="92"/>
      <c r="D1730" s="92"/>
      <c r="E1730" s="92" t="s">
        <v>804</v>
      </c>
      <c r="F1730" s="93">
        <v>13.11</v>
      </c>
      <c r="G1730" s="92"/>
      <c r="H1730" s="127" t="s">
        <v>805</v>
      </c>
      <c r="I1730" s="127"/>
      <c r="J1730" s="93">
        <v>58.62</v>
      </c>
    </row>
    <row r="1731" spans="1:10" ht="15" thickBot="1" x14ac:dyDescent="0.25">
      <c r="A1731" s="77"/>
      <c r="B1731" s="77"/>
      <c r="C1731" s="77"/>
      <c r="D1731" s="77"/>
      <c r="E1731" s="77"/>
      <c r="F1731" s="77"/>
      <c r="G1731" s="77" t="s">
        <v>806</v>
      </c>
      <c r="H1731" s="94">
        <v>3.79</v>
      </c>
      <c r="I1731" s="77" t="s">
        <v>807</v>
      </c>
      <c r="J1731" s="78">
        <v>222.16</v>
      </c>
    </row>
    <row r="1732" spans="1:10" ht="15" thickTop="1" x14ac:dyDescent="0.2">
      <c r="A1732" s="95"/>
      <c r="B1732" s="95"/>
      <c r="C1732" s="95"/>
      <c r="D1732" s="95"/>
      <c r="E1732" s="95"/>
      <c r="F1732" s="95"/>
      <c r="G1732" s="95"/>
      <c r="H1732" s="95"/>
      <c r="I1732" s="95"/>
      <c r="J1732" s="95"/>
    </row>
    <row r="1733" spans="1:10" ht="15" x14ac:dyDescent="0.2">
      <c r="A1733" s="75" t="s">
        <v>772</v>
      </c>
      <c r="B1733" s="17" t="s">
        <v>11</v>
      </c>
      <c r="C1733" s="75" t="s">
        <v>12</v>
      </c>
      <c r="D1733" s="75" t="s">
        <v>2</v>
      </c>
      <c r="E1733" s="124" t="s">
        <v>779</v>
      </c>
      <c r="F1733" s="124"/>
      <c r="G1733" s="76" t="s">
        <v>3</v>
      </c>
      <c r="H1733" s="17" t="s">
        <v>4</v>
      </c>
      <c r="I1733" s="17" t="s">
        <v>13</v>
      </c>
      <c r="J1733" s="17" t="s">
        <v>17</v>
      </c>
    </row>
    <row r="1734" spans="1:10" ht="25.5" x14ac:dyDescent="0.2">
      <c r="A1734" s="19" t="s">
        <v>780</v>
      </c>
      <c r="B1734" s="20" t="s">
        <v>773</v>
      </c>
      <c r="C1734" s="19" t="s">
        <v>15</v>
      </c>
      <c r="D1734" s="19" t="s">
        <v>774</v>
      </c>
      <c r="E1734" s="125">
        <v>33.07</v>
      </c>
      <c r="F1734" s="125"/>
      <c r="G1734" s="21" t="s">
        <v>134</v>
      </c>
      <c r="H1734" s="86">
        <v>1</v>
      </c>
      <c r="I1734" s="82">
        <v>4.37</v>
      </c>
      <c r="J1734" s="82">
        <v>4.37</v>
      </c>
    </row>
    <row r="1735" spans="1:10" ht="38.25" x14ac:dyDescent="0.2">
      <c r="A1735" s="87" t="s">
        <v>781</v>
      </c>
      <c r="B1735" s="88" t="s">
        <v>1338</v>
      </c>
      <c r="C1735" s="87" t="s">
        <v>15</v>
      </c>
      <c r="D1735" s="87" t="s">
        <v>1339</v>
      </c>
      <c r="E1735" s="126" t="s">
        <v>794</v>
      </c>
      <c r="F1735" s="126"/>
      <c r="G1735" s="89" t="s">
        <v>134</v>
      </c>
      <c r="H1735" s="90">
        <v>1</v>
      </c>
      <c r="I1735" s="91">
        <v>4.37</v>
      </c>
      <c r="J1735" s="91">
        <v>4.37</v>
      </c>
    </row>
    <row r="1736" spans="1:10" ht="38.25" x14ac:dyDescent="0.2">
      <c r="A1736" s="92"/>
      <c r="B1736" s="92"/>
      <c r="C1736" s="92"/>
      <c r="D1736" s="92"/>
      <c r="E1736" s="92" t="s">
        <v>801</v>
      </c>
      <c r="F1736" s="93">
        <v>0</v>
      </c>
      <c r="G1736" s="92" t="s">
        <v>802</v>
      </c>
      <c r="H1736" s="93">
        <v>0</v>
      </c>
      <c r="I1736" s="92" t="s">
        <v>803</v>
      </c>
      <c r="J1736" s="93">
        <v>0</v>
      </c>
    </row>
    <row r="1737" spans="1:10" ht="38.25" x14ac:dyDescent="0.2">
      <c r="A1737" s="92"/>
      <c r="B1737" s="92"/>
      <c r="C1737" s="92"/>
      <c r="D1737" s="92"/>
      <c r="E1737" s="92" t="s">
        <v>804</v>
      </c>
      <c r="F1737" s="93">
        <v>1.25</v>
      </c>
      <c r="G1737" s="92"/>
      <c r="H1737" s="127" t="s">
        <v>805</v>
      </c>
      <c r="I1737" s="127"/>
      <c r="J1737" s="93">
        <v>5.62</v>
      </c>
    </row>
    <row r="1738" spans="1:10" ht="15" thickBot="1" x14ac:dyDescent="0.25">
      <c r="A1738" s="77"/>
      <c r="B1738" s="77"/>
      <c r="C1738" s="77"/>
      <c r="D1738" s="77"/>
      <c r="E1738" s="77"/>
      <c r="F1738" s="77"/>
      <c r="G1738" s="77" t="s">
        <v>806</v>
      </c>
      <c r="H1738" s="94">
        <v>1762.2</v>
      </c>
      <c r="I1738" s="77" t="s">
        <v>807</v>
      </c>
      <c r="J1738" s="78">
        <v>9903.56</v>
      </c>
    </row>
    <row r="1739" spans="1:10" ht="15" thickTop="1" x14ac:dyDescent="0.2">
      <c r="A1739" s="95"/>
      <c r="B1739" s="95"/>
      <c r="C1739" s="95"/>
      <c r="D1739" s="95"/>
      <c r="E1739" s="95"/>
      <c r="F1739" s="95"/>
      <c r="G1739" s="95"/>
      <c r="H1739" s="95"/>
      <c r="I1739" s="95"/>
      <c r="J1739" s="95"/>
    </row>
    <row r="1740" spans="1:10" x14ac:dyDescent="0.2">
      <c r="A1740" s="18" t="s">
        <v>527</v>
      </c>
      <c r="B1740" s="18"/>
      <c r="C1740" s="18"/>
      <c r="D1740" s="18" t="s">
        <v>528</v>
      </c>
      <c r="E1740" s="18"/>
      <c r="F1740" s="122"/>
      <c r="G1740" s="122"/>
      <c r="H1740" s="39"/>
      <c r="I1740" s="18"/>
      <c r="J1740" s="80">
        <v>250930.97</v>
      </c>
    </row>
    <row r="1741" spans="1:10" x14ac:dyDescent="0.2">
      <c r="A1741" s="18" t="s">
        <v>529</v>
      </c>
      <c r="B1741" s="18"/>
      <c r="C1741" s="18"/>
      <c r="D1741" s="18" t="s">
        <v>108</v>
      </c>
      <c r="E1741" s="18"/>
      <c r="F1741" s="122"/>
      <c r="G1741" s="122"/>
      <c r="H1741" s="39"/>
      <c r="I1741" s="18"/>
      <c r="J1741" s="80">
        <v>10537.41</v>
      </c>
    </row>
    <row r="1742" spans="1:10" ht="15" x14ac:dyDescent="0.2">
      <c r="A1742" s="75" t="s">
        <v>530</v>
      </c>
      <c r="B1742" s="17" t="s">
        <v>11</v>
      </c>
      <c r="C1742" s="75" t="s">
        <v>12</v>
      </c>
      <c r="D1742" s="75" t="s">
        <v>2</v>
      </c>
      <c r="E1742" s="124" t="s">
        <v>779</v>
      </c>
      <c r="F1742" s="124"/>
      <c r="G1742" s="76" t="s">
        <v>3</v>
      </c>
      <c r="H1742" s="17" t="s">
        <v>4</v>
      </c>
      <c r="I1742" s="17" t="s">
        <v>13</v>
      </c>
      <c r="J1742" s="17" t="s">
        <v>17</v>
      </c>
    </row>
    <row r="1743" spans="1:10" ht="25.5" x14ac:dyDescent="0.2">
      <c r="A1743" s="19" t="s">
        <v>780</v>
      </c>
      <c r="B1743" s="20" t="s">
        <v>110</v>
      </c>
      <c r="C1743" s="19" t="s">
        <v>15</v>
      </c>
      <c r="D1743" s="19" t="s">
        <v>111</v>
      </c>
      <c r="E1743" s="125">
        <v>12.05</v>
      </c>
      <c r="F1743" s="125"/>
      <c r="G1743" s="21" t="s">
        <v>78</v>
      </c>
      <c r="H1743" s="86">
        <v>1</v>
      </c>
      <c r="I1743" s="82">
        <v>56.13</v>
      </c>
      <c r="J1743" s="82">
        <v>56.13</v>
      </c>
    </row>
    <row r="1744" spans="1:10" ht="38.25" x14ac:dyDescent="0.2">
      <c r="A1744" s="87" t="s">
        <v>781</v>
      </c>
      <c r="B1744" s="88" t="s">
        <v>864</v>
      </c>
      <c r="C1744" s="87" t="s">
        <v>15</v>
      </c>
      <c r="D1744" s="87" t="s">
        <v>111</v>
      </c>
      <c r="E1744" s="126" t="s">
        <v>794</v>
      </c>
      <c r="F1744" s="126"/>
      <c r="G1744" s="89" t="s">
        <v>78</v>
      </c>
      <c r="H1744" s="90">
        <v>1</v>
      </c>
      <c r="I1744" s="91">
        <v>16.670000000000002</v>
      </c>
      <c r="J1744" s="91">
        <v>16.670000000000002</v>
      </c>
    </row>
    <row r="1745" spans="1:10" ht="38.25" x14ac:dyDescent="0.2">
      <c r="A1745" s="87" t="s">
        <v>781</v>
      </c>
      <c r="B1745" s="88" t="s">
        <v>865</v>
      </c>
      <c r="C1745" s="87" t="s">
        <v>15</v>
      </c>
      <c r="D1745" s="87" t="s">
        <v>866</v>
      </c>
      <c r="E1745" s="126" t="s">
        <v>784</v>
      </c>
      <c r="F1745" s="126"/>
      <c r="G1745" s="89" t="s">
        <v>785</v>
      </c>
      <c r="H1745" s="90">
        <v>1.9400000000000001E-2</v>
      </c>
      <c r="I1745" s="91">
        <v>18.57</v>
      </c>
      <c r="J1745" s="91">
        <v>0.36</v>
      </c>
    </row>
    <row r="1746" spans="1:10" ht="38.25" x14ac:dyDescent="0.2">
      <c r="A1746" s="87" t="s">
        <v>781</v>
      </c>
      <c r="B1746" s="88" t="s">
        <v>867</v>
      </c>
      <c r="C1746" s="87" t="s">
        <v>15</v>
      </c>
      <c r="D1746" s="87" t="s">
        <v>868</v>
      </c>
      <c r="E1746" s="126" t="s">
        <v>784</v>
      </c>
      <c r="F1746" s="126"/>
      <c r="G1746" s="89" t="s">
        <v>785</v>
      </c>
      <c r="H1746" s="90">
        <v>9.7000000000000003E-3</v>
      </c>
      <c r="I1746" s="91">
        <v>22.61</v>
      </c>
      <c r="J1746" s="91">
        <v>0.21</v>
      </c>
    </row>
    <row r="1747" spans="1:10" ht="38.25" x14ac:dyDescent="0.2">
      <c r="A1747" s="87" t="s">
        <v>781</v>
      </c>
      <c r="B1747" s="88" t="s">
        <v>832</v>
      </c>
      <c r="C1747" s="87" t="s">
        <v>15</v>
      </c>
      <c r="D1747" s="87" t="s">
        <v>833</v>
      </c>
      <c r="E1747" s="126" t="s">
        <v>784</v>
      </c>
      <c r="F1747" s="126"/>
      <c r="G1747" s="89" t="s">
        <v>785</v>
      </c>
      <c r="H1747" s="90">
        <v>9.8100000000000007E-2</v>
      </c>
      <c r="I1747" s="91">
        <v>22.61</v>
      </c>
      <c r="J1747" s="91">
        <v>2.21</v>
      </c>
    </row>
    <row r="1748" spans="1:10" ht="38.25" x14ac:dyDescent="0.2">
      <c r="A1748" s="87" t="s">
        <v>781</v>
      </c>
      <c r="B1748" s="88" t="s">
        <v>816</v>
      </c>
      <c r="C1748" s="87" t="s">
        <v>15</v>
      </c>
      <c r="D1748" s="87" t="s">
        <v>817</v>
      </c>
      <c r="E1748" s="126" t="s">
        <v>784</v>
      </c>
      <c r="F1748" s="126"/>
      <c r="G1748" s="89" t="s">
        <v>785</v>
      </c>
      <c r="H1748" s="90">
        <v>0.58879999999999999</v>
      </c>
      <c r="I1748" s="91">
        <v>18.57</v>
      </c>
      <c r="J1748" s="91">
        <v>10.93</v>
      </c>
    </row>
    <row r="1749" spans="1:10" ht="38.25" x14ac:dyDescent="0.2">
      <c r="A1749" s="87" t="s">
        <v>781</v>
      </c>
      <c r="B1749" s="88" t="s">
        <v>869</v>
      </c>
      <c r="C1749" s="87" t="s">
        <v>15</v>
      </c>
      <c r="D1749" s="87" t="s">
        <v>870</v>
      </c>
      <c r="E1749" s="126" t="s">
        <v>794</v>
      </c>
      <c r="F1749" s="126"/>
      <c r="G1749" s="89" t="s">
        <v>50</v>
      </c>
      <c r="H1749" s="90">
        <v>4.9099999999999998E-2</v>
      </c>
      <c r="I1749" s="91">
        <v>485.62</v>
      </c>
      <c r="J1749" s="91">
        <v>23.84</v>
      </c>
    </row>
    <row r="1750" spans="1:10" ht="38.25" x14ac:dyDescent="0.2">
      <c r="A1750" s="87" t="s">
        <v>781</v>
      </c>
      <c r="B1750" s="88" t="s">
        <v>871</v>
      </c>
      <c r="C1750" s="87" t="s">
        <v>15</v>
      </c>
      <c r="D1750" s="87" t="s">
        <v>872</v>
      </c>
      <c r="E1750" s="126" t="s">
        <v>794</v>
      </c>
      <c r="F1750" s="126"/>
      <c r="G1750" s="89" t="s">
        <v>134</v>
      </c>
      <c r="H1750" s="90">
        <v>0.2331</v>
      </c>
      <c r="I1750" s="91">
        <v>6.9</v>
      </c>
      <c r="J1750" s="91">
        <v>1.6</v>
      </c>
    </row>
    <row r="1751" spans="1:10" ht="38.25" x14ac:dyDescent="0.2">
      <c r="A1751" s="87" t="s">
        <v>781</v>
      </c>
      <c r="B1751" s="88" t="s">
        <v>873</v>
      </c>
      <c r="C1751" s="87" t="s">
        <v>15</v>
      </c>
      <c r="D1751" s="87" t="s">
        <v>874</v>
      </c>
      <c r="E1751" s="126" t="s">
        <v>794</v>
      </c>
      <c r="F1751" s="126"/>
      <c r="G1751" s="89" t="s">
        <v>134</v>
      </c>
      <c r="H1751" s="90">
        <v>3.3700000000000001E-2</v>
      </c>
      <c r="I1751" s="91">
        <v>7.43</v>
      </c>
      <c r="J1751" s="91">
        <v>0.25</v>
      </c>
    </row>
    <row r="1752" spans="1:10" ht="38.25" x14ac:dyDescent="0.2">
      <c r="A1752" s="87" t="s">
        <v>781</v>
      </c>
      <c r="B1752" s="88" t="s">
        <v>875</v>
      </c>
      <c r="C1752" s="87" t="s">
        <v>15</v>
      </c>
      <c r="D1752" s="87" t="s">
        <v>876</v>
      </c>
      <c r="E1752" s="126" t="s">
        <v>794</v>
      </c>
      <c r="F1752" s="126"/>
      <c r="G1752" s="89" t="s">
        <v>134</v>
      </c>
      <c r="H1752" s="90">
        <v>4.7999999999999996E-3</v>
      </c>
      <c r="I1752" s="91">
        <v>13.7</v>
      </c>
      <c r="J1752" s="91">
        <v>0.06</v>
      </c>
    </row>
    <row r="1753" spans="1:10" ht="38.25" x14ac:dyDescent="0.2">
      <c r="A1753" s="92"/>
      <c r="B1753" s="92"/>
      <c r="C1753" s="92"/>
      <c r="D1753" s="92"/>
      <c r="E1753" s="92" t="s">
        <v>801</v>
      </c>
      <c r="F1753" s="93">
        <v>13.71</v>
      </c>
      <c r="G1753" s="92" t="s">
        <v>802</v>
      </c>
      <c r="H1753" s="93">
        <v>0</v>
      </c>
      <c r="I1753" s="92" t="s">
        <v>803</v>
      </c>
      <c r="J1753" s="93">
        <v>13.71</v>
      </c>
    </row>
    <row r="1754" spans="1:10" ht="38.25" x14ac:dyDescent="0.2">
      <c r="A1754" s="92"/>
      <c r="B1754" s="92"/>
      <c r="C1754" s="92"/>
      <c r="D1754" s="92"/>
      <c r="E1754" s="92" t="s">
        <v>804</v>
      </c>
      <c r="F1754" s="93">
        <v>16.170000000000002</v>
      </c>
      <c r="G1754" s="92"/>
      <c r="H1754" s="127" t="s">
        <v>805</v>
      </c>
      <c r="I1754" s="127"/>
      <c r="J1754" s="93">
        <v>72.3</v>
      </c>
    </row>
    <row r="1755" spans="1:10" ht="15" thickBot="1" x14ac:dyDescent="0.25">
      <c r="A1755" s="77"/>
      <c r="B1755" s="77"/>
      <c r="C1755" s="77"/>
      <c r="D1755" s="77"/>
      <c r="E1755" s="77"/>
      <c r="F1755" s="77"/>
      <c r="G1755" s="77" t="s">
        <v>806</v>
      </c>
      <c r="H1755" s="94">
        <v>123</v>
      </c>
      <c r="I1755" s="77" t="s">
        <v>807</v>
      </c>
      <c r="J1755" s="78">
        <v>8892.9</v>
      </c>
    </row>
    <row r="1756" spans="1:10" ht="15" thickTop="1" x14ac:dyDescent="0.2">
      <c r="A1756" s="95"/>
      <c r="B1756" s="95"/>
      <c r="C1756" s="95"/>
      <c r="D1756" s="95"/>
      <c r="E1756" s="95"/>
      <c r="F1756" s="95"/>
      <c r="G1756" s="95"/>
      <c r="H1756" s="95"/>
      <c r="I1756" s="95"/>
      <c r="J1756" s="95"/>
    </row>
    <row r="1757" spans="1:10" ht="15" x14ac:dyDescent="0.2">
      <c r="A1757" s="75" t="s">
        <v>664</v>
      </c>
      <c r="B1757" s="17" t="s">
        <v>11</v>
      </c>
      <c r="C1757" s="75" t="s">
        <v>12</v>
      </c>
      <c r="D1757" s="75" t="s">
        <v>2</v>
      </c>
      <c r="E1757" s="124" t="s">
        <v>779</v>
      </c>
      <c r="F1757" s="124"/>
      <c r="G1757" s="76" t="s">
        <v>3</v>
      </c>
      <c r="H1757" s="17" t="s">
        <v>4</v>
      </c>
      <c r="I1757" s="17" t="s">
        <v>13</v>
      </c>
      <c r="J1757" s="17" t="s">
        <v>17</v>
      </c>
    </row>
    <row r="1758" spans="1:10" ht="25.5" x14ac:dyDescent="0.2">
      <c r="A1758" s="19" t="s">
        <v>780</v>
      </c>
      <c r="B1758" s="20" t="s">
        <v>132</v>
      </c>
      <c r="C1758" s="19" t="s">
        <v>15</v>
      </c>
      <c r="D1758" s="19" t="s">
        <v>133</v>
      </c>
      <c r="E1758" s="125">
        <v>10.01</v>
      </c>
      <c r="F1758" s="125"/>
      <c r="G1758" s="21" t="s">
        <v>134</v>
      </c>
      <c r="H1758" s="86">
        <v>1</v>
      </c>
      <c r="I1758" s="82">
        <v>10.38</v>
      </c>
      <c r="J1758" s="82">
        <v>10.38</v>
      </c>
    </row>
    <row r="1759" spans="1:10" ht="38.25" x14ac:dyDescent="0.2">
      <c r="A1759" s="87" t="s">
        <v>781</v>
      </c>
      <c r="B1759" s="88" t="s">
        <v>865</v>
      </c>
      <c r="C1759" s="87" t="s">
        <v>15</v>
      </c>
      <c r="D1759" s="87" t="s">
        <v>866</v>
      </c>
      <c r="E1759" s="126" t="s">
        <v>784</v>
      </c>
      <c r="F1759" s="126"/>
      <c r="G1759" s="89" t="s">
        <v>785</v>
      </c>
      <c r="H1759" s="90">
        <v>0.08</v>
      </c>
      <c r="I1759" s="91">
        <v>18.57</v>
      </c>
      <c r="J1759" s="91">
        <v>1.48</v>
      </c>
    </row>
    <row r="1760" spans="1:10" ht="38.25" x14ac:dyDescent="0.2">
      <c r="A1760" s="87" t="s">
        <v>781</v>
      </c>
      <c r="B1760" s="88" t="s">
        <v>867</v>
      </c>
      <c r="C1760" s="87" t="s">
        <v>15</v>
      </c>
      <c r="D1760" s="87" t="s">
        <v>868</v>
      </c>
      <c r="E1760" s="126" t="s">
        <v>784</v>
      </c>
      <c r="F1760" s="126"/>
      <c r="G1760" s="89" t="s">
        <v>785</v>
      </c>
      <c r="H1760" s="90">
        <v>0.04</v>
      </c>
      <c r="I1760" s="91">
        <v>22.61</v>
      </c>
      <c r="J1760" s="91">
        <v>0.9</v>
      </c>
    </row>
    <row r="1761" spans="1:10" ht="38.25" x14ac:dyDescent="0.2">
      <c r="A1761" s="87" t="s">
        <v>781</v>
      </c>
      <c r="B1761" s="88" t="s">
        <v>871</v>
      </c>
      <c r="C1761" s="87" t="s">
        <v>15</v>
      </c>
      <c r="D1761" s="87" t="s">
        <v>872</v>
      </c>
      <c r="E1761" s="126" t="s">
        <v>794</v>
      </c>
      <c r="F1761" s="126"/>
      <c r="G1761" s="89" t="s">
        <v>134</v>
      </c>
      <c r="H1761" s="90">
        <v>1.1000000000000001</v>
      </c>
      <c r="I1761" s="91">
        <v>6.9</v>
      </c>
      <c r="J1761" s="91">
        <v>7.59</v>
      </c>
    </row>
    <row r="1762" spans="1:10" ht="38.25" x14ac:dyDescent="0.2">
      <c r="A1762" s="87" t="s">
        <v>781</v>
      </c>
      <c r="B1762" s="88" t="s">
        <v>875</v>
      </c>
      <c r="C1762" s="87" t="s">
        <v>15</v>
      </c>
      <c r="D1762" s="87" t="s">
        <v>876</v>
      </c>
      <c r="E1762" s="126" t="s">
        <v>794</v>
      </c>
      <c r="F1762" s="126"/>
      <c r="G1762" s="89" t="s">
        <v>134</v>
      </c>
      <c r="H1762" s="90">
        <v>0.03</v>
      </c>
      <c r="I1762" s="91">
        <v>13.7</v>
      </c>
      <c r="J1762" s="91">
        <v>0.41</v>
      </c>
    </row>
    <row r="1763" spans="1:10" ht="38.25" x14ac:dyDescent="0.2">
      <c r="A1763" s="92"/>
      <c r="B1763" s="92"/>
      <c r="C1763" s="92"/>
      <c r="D1763" s="92"/>
      <c r="E1763" s="92" t="s">
        <v>801</v>
      </c>
      <c r="F1763" s="93">
        <v>2.38</v>
      </c>
      <c r="G1763" s="92" t="s">
        <v>802</v>
      </c>
      <c r="H1763" s="93">
        <v>0</v>
      </c>
      <c r="I1763" s="92" t="s">
        <v>803</v>
      </c>
      <c r="J1763" s="93">
        <v>2.38</v>
      </c>
    </row>
    <row r="1764" spans="1:10" ht="38.25" x14ac:dyDescent="0.2">
      <c r="A1764" s="92"/>
      <c r="B1764" s="92"/>
      <c r="C1764" s="92"/>
      <c r="D1764" s="92"/>
      <c r="E1764" s="92" t="s">
        <v>804</v>
      </c>
      <c r="F1764" s="93">
        <v>2.99</v>
      </c>
      <c r="G1764" s="92"/>
      <c r="H1764" s="127" t="s">
        <v>805</v>
      </c>
      <c r="I1764" s="127"/>
      <c r="J1764" s="93">
        <v>13.37</v>
      </c>
    </row>
    <row r="1765" spans="1:10" ht="15" thickBot="1" x14ac:dyDescent="0.25">
      <c r="A1765" s="77"/>
      <c r="B1765" s="77"/>
      <c r="C1765" s="77"/>
      <c r="D1765" s="77"/>
      <c r="E1765" s="77"/>
      <c r="F1765" s="77"/>
      <c r="G1765" s="77" t="s">
        <v>806</v>
      </c>
      <c r="H1765" s="94">
        <v>123</v>
      </c>
      <c r="I1765" s="77" t="s">
        <v>807</v>
      </c>
      <c r="J1765" s="78">
        <v>1644.51</v>
      </c>
    </row>
    <row r="1766" spans="1:10" ht="15" thickTop="1" x14ac:dyDescent="0.2">
      <c r="A1766" s="95"/>
      <c r="B1766" s="95"/>
      <c r="C1766" s="95"/>
      <c r="D1766" s="95"/>
      <c r="E1766" s="95"/>
      <c r="F1766" s="95"/>
      <c r="G1766" s="95"/>
      <c r="H1766" s="95"/>
      <c r="I1766" s="95"/>
      <c r="J1766" s="95"/>
    </row>
    <row r="1767" spans="1:10" x14ac:dyDescent="0.2">
      <c r="A1767" s="18" t="s">
        <v>531</v>
      </c>
      <c r="B1767" s="18"/>
      <c r="C1767" s="18"/>
      <c r="D1767" s="18" t="s">
        <v>532</v>
      </c>
      <c r="E1767" s="18"/>
      <c r="F1767" s="122"/>
      <c r="G1767" s="122"/>
      <c r="H1767" s="39"/>
      <c r="I1767" s="18"/>
      <c r="J1767" s="80">
        <v>238322.03</v>
      </c>
    </row>
    <row r="1768" spans="1:10" ht="15" x14ac:dyDescent="0.2">
      <c r="A1768" s="75" t="s">
        <v>533</v>
      </c>
      <c r="B1768" s="17" t="s">
        <v>11</v>
      </c>
      <c r="C1768" s="75" t="s">
        <v>12</v>
      </c>
      <c r="D1768" s="75" t="s">
        <v>2</v>
      </c>
      <c r="E1768" s="124" t="s">
        <v>779</v>
      </c>
      <c r="F1768" s="124"/>
      <c r="G1768" s="76" t="s">
        <v>3</v>
      </c>
      <c r="H1768" s="17" t="s">
        <v>4</v>
      </c>
      <c r="I1768" s="17" t="s">
        <v>13</v>
      </c>
      <c r="J1768" s="17" t="s">
        <v>17</v>
      </c>
    </row>
    <row r="1769" spans="1:10" ht="25.5" x14ac:dyDescent="0.2">
      <c r="A1769" s="19" t="s">
        <v>780</v>
      </c>
      <c r="B1769" s="20" t="s">
        <v>120</v>
      </c>
      <c r="C1769" s="19" t="s">
        <v>15</v>
      </c>
      <c r="D1769" s="19" t="s">
        <v>121</v>
      </c>
      <c r="E1769" s="125">
        <v>6.01</v>
      </c>
      <c r="F1769" s="125"/>
      <c r="G1769" s="21" t="s">
        <v>50</v>
      </c>
      <c r="H1769" s="86">
        <v>1</v>
      </c>
      <c r="I1769" s="82">
        <v>46.42</v>
      </c>
      <c r="J1769" s="82">
        <v>46.42</v>
      </c>
    </row>
    <row r="1770" spans="1:10" ht="38.25" x14ac:dyDescent="0.2">
      <c r="A1770" s="87" t="s">
        <v>781</v>
      </c>
      <c r="B1770" s="88" t="s">
        <v>816</v>
      </c>
      <c r="C1770" s="87" t="s">
        <v>15</v>
      </c>
      <c r="D1770" s="87" t="s">
        <v>817</v>
      </c>
      <c r="E1770" s="126" t="s">
        <v>784</v>
      </c>
      <c r="F1770" s="126"/>
      <c r="G1770" s="89" t="s">
        <v>785</v>
      </c>
      <c r="H1770" s="90">
        <v>2.5</v>
      </c>
      <c r="I1770" s="91">
        <v>18.57</v>
      </c>
      <c r="J1770" s="91">
        <v>46.42</v>
      </c>
    </row>
    <row r="1771" spans="1:10" ht="38.25" x14ac:dyDescent="0.2">
      <c r="A1771" s="92"/>
      <c r="B1771" s="92"/>
      <c r="C1771" s="92"/>
      <c r="D1771" s="92"/>
      <c r="E1771" s="92" t="s">
        <v>801</v>
      </c>
      <c r="F1771" s="93">
        <v>46.42</v>
      </c>
      <c r="G1771" s="92" t="s">
        <v>802</v>
      </c>
      <c r="H1771" s="93">
        <v>0</v>
      </c>
      <c r="I1771" s="92" t="s">
        <v>803</v>
      </c>
      <c r="J1771" s="93">
        <v>46.42</v>
      </c>
    </row>
    <row r="1772" spans="1:10" ht="38.25" x14ac:dyDescent="0.2">
      <c r="A1772" s="92"/>
      <c r="B1772" s="92"/>
      <c r="C1772" s="92"/>
      <c r="D1772" s="92"/>
      <c r="E1772" s="92" t="s">
        <v>804</v>
      </c>
      <c r="F1772" s="93">
        <v>13.37</v>
      </c>
      <c r="G1772" s="92"/>
      <c r="H1772" s="127" t="s">
        <v>805</v>
      </c>
      <c r="I1772" s="127"/>
      <c r="J1772" s="93">
        <v>59.79</v>
      </c>
    </row>
    <row r="1773" spans="1:10" ht="15" thickBot="1" x14ac:dyDescent="0.25">
      <c r="A1773" s="77"/>
      <c r="B1773" s="77"/>
      <c r="C1773" s="77"/>
      <c r="D1773" s="77"/>
      <c r="E1773" s="77"/>
      <c r="F1773" s="77"/>
      <c r="G1773" s="77" t="s">
        <v>806</v>
      </c>
      <c r="H1773" s="94">
        <v>19.329999999999998</v>
      </c>
      <c r="I1773" s="77" t="s">
        <v>807</v>
      </c>
      <c r="J1773" s="78">
        <v>1155.74</v>
      </c>
    </row>
    <row r="1774" spans="1:10" ht="15" thickTop="1" x14ac:dyDescent="0.2">
      <c r="A1774" s="95"/>
      <c r="B1774" s="95"/>
      <c r="C1774" s="95"/>
      <c r="D1774" s="95"/>
      <c r="E1774" s="95"/>
      <c r="F1774" s="95"/>
      <c r="G1774" s="95"/>
      <c r="H1774" s="95"/>
      <c r="I1774" s="95"/>
      <c r="J1774" s="95"/>
    </row>
    <row r="1775" spans="1:10" ht="15" x14ac:dyDescent="0.2">
      <c r="A1775" s="75" t="s">
        <v>534</v>
      </c>
      <c r="B1775" s="17" t="s">
        <v>11</v>
      </c>
      <c r="C1775" s="75" t="s">
        <v>12</v>
      </c>
      <c r="D1775" s="75" t="s">
        <v>2</v>
      </c>
      <c r="E1775" s="124" t="s">
        <v>779</v>
      </c>
      <c r="F1775" s="124"/>
      <c r="G1775" s="76" t="s">
        <v>3</v>
      </c>
      <c r="H1775" s="17" t="s">
        <v>4</v>
      </c>
      <c r="I1775" s="17" t="s">
        <v>13</v>
      </c>
      <c r="J1775" s="17" t="s">
        <v>17</v>
      </c>
    </row>
    <row r="1776" spans="1:10" ht="25.5" x14ac:dyDescent="0.2">
      <c r="A1776" s="19" t="s">
        <v>780</v>
      </c>
      <c r="B1776" s="20" t="s">
        <v>123</v>
      </c>
      <c r="C1776" s="19" t="s">
        <v>31</v>
      </c>
      <c r="D1776" s="19" t="s">
        <v>124</v>
      </c>
      <c r="E1776" s="125" t="s">
        <v>879</v>
      </c>
      <c r="F1776" s="125"/>
      <c r="G1776" s="21" t="s">
        <v>5</v>
      </c>
      <c r="H1776" s="86">
        <v>1</v>
      </c>
      <c r="I1776" s="82">
        <v>8.86</v>
      </c>
      <c r="J1776" s="82">
        <v>8.86</v>
      </c>
    </row>
    <row r="1777" spans="1:10" ht="38.25" x14ac:dyDescent="0.2">
      <c r="A1777" s="96" t="s">
        <v>880</v>
      </c>
      <c r="B1777" s="97" t="s">
        <v>881</v>
      </c>
      <c r="C1777" s="96" t="s">
        <v>31</v>
      </c>
      <c r="D1777" s="96" t="s">
        <v>882</v>
      </c>
      <c r="E1777" s="128" t="s">
        <v>883</v>
      </c>
      <c r="F1777" s="128"/>
      <c r="G1777" s="98" t="s">
        <v>884</v>
      </c>
      <c r="H1777" s="99">
        <v>3.0000000000000001E-3</v>
      </c>
      <c r="I1777" s="100">
        <v>31.06</v>
      </c>
      <c r="J1777" s="100">
        <v>0.09</v>
      </c>
    </row>
    <row r="1778" spans="1:10" ht="38.25" x14ac:dyDescent="0.2">
      <c r="A1778" s="96" t="s">
        <v>880</v>
      </c>
      <c r="B1778" s="97" t="s">
        <v>885</v>
      </c>
      <c r="C1778" s="96" t="s">
        <v>31</v>
      </c>
      <c r="D1778" s="96" t="s">
        <v>886</v>
      </c>
      <c r="E1778" s="128" t="s">
        <v>883</v>
      </c>
      <c r="F1778" s="128"/>
      <c r="G1778" s="98" t="s">
        <v>887</v>
      </c>
      <c r="H1778" s="99">
        <v>3.0000000000000001E-3</v>
      </c>
      <c r="I1778" s="100">
        <v>38.479999999999997</v>
      </c>
      <c r="J1778" s="100">
        <v>0.11</v>
      </c>
    </row>
    <row r="1779" spans="1:10" ht="38.25" x14ac:dyDescent="0.2">
      <c r="A1779" s="96" t="s">
        <v>880</v>
      </c>
      <c r="B1779" s="97" t="s">
        <v>888</v>
      </c>
      <c r="C1779" s="96" t="s">
        <v>31</v>
      </c>
      <c r="D1779" s="96" t="s">
        <v>889</v>
      </c>
      <c r="E1779" s="128" t="s">
        <v>890</v>
      </c>
      <c r="F1779" s="128"/>
      <c r="G1779" s="98" t="s">
        <v>785</v>
      </c>
      <c r="H1779" s="99">
        <v>0.11899999999999999</v>
      </c>
      <c r="I1779" s="100">
        <v>31.42</v>
      </c>
      <c r="J1779" s="100">
        <v>3.73</v>
      </c>
    </row>
    <row r="1780" spans="1:10" ht="38.25" x14ac:dyDescent="0.2">
      <c r="A1780" s="96" t="s">
        <v>880</v>
      </c>
      <c r="B1780" s="97" t="s">
        <v>891</v>
      </c>
      <c r="C1780" s="96" t="s">
        <v>31</v>
      </c>
      <c r="D1780" s="96" t="s">
        <v>892</v>
      </c>
      <c r="E1780" s="128" t="s">
        <v>890</v>
      </c>
      <c r="F1780" s="128"/>
      <c r="G1780" s="98" t="s">
        <v>785</v>
      </c>
      <c r="H1780" s="99">
        <v>0.17899999999999999</v>
      </c>
      <c r="I1780" s="100">
        <v>27.55</v>
      </c>
      <c r="J1780" s="100">
        <v>4.93</v>
      </c>
    </row>
    <row r="1781" spans="1:10" ht="38.25" x14ac:dyDescent="0.2">
      <c r="A1781" s="92"/>
      <c r="B1781" s="92"/>
      <c r="C1781" s="92"/>
      <c r="D1781" s="92"/>
      <c r="E1781" s="92" t="s">
        <v>801</v>
      </c>
      <c r="F1781" s="93">
        <v>6.13</v>
      </c>
      <c r="G1781" s="92" t="s">
        <v>802</v>
      </c>
      <c r="H1781" s="93">
        <v>0</v>
      </c>
      <c r="I1781" s="92" t="s">
        <v>803</v>
      </c>
      <c r="J1781" s="93">
        <v>6.13</v>
      </c>
    </row>
    <row r="1782" spans="1:10" ht="38.25" x14ac:dyDescent="0.2">
      <c r="A1782" s="92"/>
      <c r="B1782" s="92"/>
      <c r="C1782" s="92"/>
      <c r="D1782" s="92"/>
      <c r="E1782" s="92" t="s">
        <v>804</v>
      </c>
      <c r="F1782" s="93">
        <v>2.5499999999999998</v>
      </c>
      <c r="G1782" s="92"/>
      <c r="H1782" s="127" t="s">
        <v>805</v>
      </c>
      <c r="I1782" s="127"/>
      <c r="J1782" s="93">
        <v>11.41</v>
      </c>
    </row>
    <row r="1783" spans="1:10" ht="15" thickBot="1" x14ac:dyDescent="0.25">
      <c r="A1783" s="77"/>
      <c r="B1783" s="77"/>
      <c r="C1783" s="77"/>
      <c r="D1783" s="77"/>
      <c r="E1783" s="77"/>
      <c r="F1783" s="77"/>
      <c r="G1783" s="77" t="s">
        <v>806</v>
      </c>
      <c r="H1783" s="94">
        <v>35.880000000000003</v>
      </c>
      <c r="I1783" s="77" t="s">
        <v>807</v>
      </c>
      <c r="J1783" s="78">
        <v>409.39</v>
      </c>
    </row>
    <row r="1784" spans="1:10" ht="15" thickTop="1" x14ac:dyDescent="0.2">
      <c r="A1784" s="95"/>
      <c r="B1784" s="95"/>
      <c r="C1784" s="95"/>
      <c r="D1784" s="95"/>
      <c r="E1784" s="95"/>
      <c r="F1784" s="95"/>
      <c r="G1784" s="95"/>
      <c r="H1784" s="95"/>
      <c r="I1784" s="95"/>
      <c r="J1784" s="95"/>
    </row>
    <row r="1785" spans="1:10" ht="15" x14ac:dyDescent="0.2">
      <c r="A1785" s="75" t="s">
        <v>535</v>
      </c>
      <c r="B1785" s="17" t="s">
        <v>11</v>
      </c>
      <c r="C1785" s="75" t="s">
        <v>12</v>
      </c>
      <c r="D1785" s="75" t="s">
        <v>2</v>
      </c>
      <c r="E1785" s="124" t="s">
        <v>779</v>
      </c>
      <c r="F1785" s="124"/>
      <c r="G1785" s="76" t="s">
        <v>3</v>
      </c>
      <c r="H1785" s="17" t="s">
        <v>4</v>
      </c>
      <c r="I1785" s="17" t="s">
        <v>13</v>
      </c>
      <c r="J1785" s="17" t="s">
        <v>17</v>
      </c>
    </row>
    <row r="1786" spans="1:10" ht="25.5" x14ac:dyDescent="0.2">
      <c r="A1786" s="19" t="s">
        <v>780</v>
      </c>
      <c r="B1786" s="20" t="s">
        <v>536</v>
      </c>
      <c r="C1786" s="19" t="s">
        <v>15</v>
      </c>
      <c r="D1786" s="19" t="s">
        <v>537</v>
      </c>
      <c r="E1786" s="125">
        <v>32.17</v>
      </c>
      <c r="F1786" s="125"/>
      <c r="G1786" s="21" t="s">
        <v>50</v>
      </c>
      <c r="H1786" s="86">
        <v>1</v>
      </c>
      <c r="I1786" s="82">
        <v>789.7</v>
      </c>
      <c r="J1786" s="82">
        <v>789.7</v>
      </c>
    </row>
    <row r="1787" spans="1:10" ht="38.25" x14ac:dyDescent="0.2">
      <c r="A1787" s="87" t="s">
        <v>781</v>
      </c>
      <c r="B1787" s="88" t="s">
        <v>832</v>
      </c>
      <c r="C1787" s="87" t="s">
        <v>15</v>
      </c>
      <c r="D1787" s="87" t="s">
        <v>833</v>
      </c>
      <c r="E1787" s="126" t="s">
        <v>784</v>
      </c>
      <c r="F1787" s="126"/>
      <c r="G1787" s="89" t="s">
        <v>785</v>
      </c>
      <c r="H1787" s="90">
        <v>6</v>
      </c>
      <c r="I1787" s="91">
        <v>22.61</v>
      </c>
      <c r="J1787" s="91">
        <v>135.66</v>
      </c>
    </row>
    <row r="1788" spans="1:10" ht="38.25" x14ac:dyDescent="0.2">
      <c r="A1788" s="87" t="s">
        <v>781</v>
      </c>
      <c r="B1788" s="88" t="s">
        <v>816</v>
      </c>
      <c r="C1788" s="87" t="s">
        <v>15</v>
      </c>
      <c r="D1788" s="87" t="s">
        <v>817</v>
      </c>
      <c r="E1788" s="126" t="s">
        <v>784</v>
      </c>
      <c r="F1788" s="126"/>
      <c r="G1788" s="89" t="s">
        <v>785</v>
      </c>
      <c r="H1788" s="90">
        <v>10</v>
      </c>
      <c r="I1788" s="91">
        <v>18.57</v>
      </c>
      <c r="J1788" s="91">
        <v>185.7</v>
      </c>
    </row>
    <row r="1789" spans="1:10" ht="38.25" x14ac:dyDescent="0.2">
      <c r="A1789" s="87" t="s">
        <v>781</v>
      </c>
      <c r="B1789" s="88" t="s">
        <v>913</v>
      </c>
      <c r="C1789" s="87" t="s">
        <v>15</v>
      </c>
      <c r="D1789" s="87" t="s">
        <v>914</v>
      </c>
      <c r="E1789" s="126" t="s">
        <v>794</v>
      </c>
      <c r="F1789" s="126"/>
      <c r="G1789" s="89" t="s">
        <v>134</v>
      </c>
      <c r="H1789" s="90">
        <v>375</v>
      </c>
      <c r="I1789" s="91">
        <v>0.6</v>
      </c>
      <c r="J1789" s="91">
        <v>225</v>
      </c>
    </row>
    <row r="1790" spans="1:10" ht="38.25" x14ac:dyDescent="0.2">
      <c r="A1790" s="87" t="s">
        <v>781</v>
      </c>
      <c r="B1790" s="88" t="s">
        <v>911</v>
      </c>
      <c r="C1790" s="87" t="s">
        <v>15</v>
      </c>
      <c r="D1790" s="87" t="s">
        <v>912</v>
      </c>
      <c r="E1790" s="126" t="s">
        <v>794</v>
      </c>
      <c r="F1790" s="126"/>
      <c r="G1790" s="89" t="s">
        <v>50</v>
      </c>
      <c r="H1790" s="90">
        <v>0.8</v>
      </c>
      <c r="I1790" s="91">
        <v>167.7</v>
      </c>
      <c r="J1790" s="91">
        <v>134.16</v>
      </c>
    </row>
    <row r="1791" spans="1:10" ht="38.25" x14ac:dyDescent="0.2">
      <c r="A1791" s="87" t="s">
        <v>781</v>
      </c>
      <c r="B1791" s="88" t="s">
        <v>1340</v>
      </c>
      <c r="C1791" s="87" t="s">
        <v>15</v>
      </c>
      <c r="D1791" s="87" t="s">
        <v>1341</v>
      </c>
      <c r="E1791" s="126" t="s">
        <v>794</v>
      </c>
      <c r="F1791" s="126"/>
      <c r="G1791" s="89" t="s">
        <v>134</v>
      </c>
      <c r="H1791" s="90">
        <v>15</v>
      </c>
      <c r="I1791" s="91">
        <v>6.36</v>
      </c>
      <c r="J1791" s="91">
        <v>95.4</v>
      </c>
    </row>
    <row r="1792" spans="1:10" ht="38.25" x14ac:dyDescent="0.2">
      <c r="A1792" s="87" t="s">
        <v>781</v>
      </c>
      <c r="B1792" s="88" t="s">
        <v>919</v>
      </c>
      <c r="C1792" s="87" t="s">
        <v>15</v>
      </c>
      <c r="D1792" s="87" t="s">
        <v>920</v>
      </c>
      <c r="E1792" s="126" t="s">
        <v>794</v>
      </c>
      <c r="F1792" s="126"/>
      <c r="G1792" s="89" t="s">
        <v>785</v>
      </c>
      <c r="H1792" s="90">
        <v>0.5</v>
      </c>
      <c r="I1792" s="91">
        <v>27.56</v>
      </c>
      <c r="J1792" s="91">
        <v>13.78</v>
      </c>
    </row>
    <row r="1793" spans="1:10" ht="38.25" x14ac:dyDescent="0.2">
      <c r="A1793" s="92"/>
      <c r="B1793" s="92"/>
      <c r="C1793" s="92"/>
      <c r="D1793" s="92"/>
      <c r="E1793" s="92" t="s">
        <v>801</v>
      </c>
      <c r="F1793" s="93">
        <v>321.36</v>
      </c>
      <c r="G1793" s="92" t="s">
        <v>802</v>
      </c>
      <c r="H1793" s="93">
        <v>0</v>
      </c>
      <c r="I1793" s="92" t="s">
        <v>803</v>
      </c>
      <c r="J1793" s="93">
        <v>321.36</v>
      </c>
    </row>
    <row r="1794" spans="1:10" ht="38.25" x14ac:dyDescent="0.2">
      <c r="A1794" s="92"/>
      <c r="B1794" s="92"/>
      <c r="C1794" s="92"/>
      <c r="D1794" s="92"/>
      <c r="E1794" s="92" t="s">
        <v>804</v>
      </c>
      <c r="F1794" s="93">
        <v>227.59</v>
      </c>
      <c r="G1794" s="92"/>
      <c r="H1794" s="127" t="s">
        <v>805</v>
      </c>
      <c r="I1794" s="127"/>
      <c r="J1794" s="93">
        <v>1017.29</v>
      </c>
    </row>
    <row r="1795" spans="1:10" ht="15" thickBot="1" x14ac:dyDescent="0.25">
      <c r="A1795" s="77"/>
      <c r="B1795" s="77"/>
      <c r="C1795" s="77"/>
      <c r="D1795" s="77"/>
      <c r="E1795" s="77"/>
      <c r="F1795" s="77"/>
      <c r="G1795" s="77" t="s">
        <v>806</v>
      </c>
      <c r="H1795" s="94">
        <v>56.38</v>
      </c>
      <c r="I1795" s="77" t="s">
        <v>807</v>
      </c>
      <c r="J1795" s="78">
        <v>57354.81</v>
      </c>
    </row>
    <row r="1796" spans="1:10" ht="15" thickTop="1" x14ac:dyDescent="0.2">
      <c r="A1796" s="95"/>
      <c r="B1796" s="95"/>
      <c r="C1796" s="95"/>
      <c r="D1796" s="95"/>
      <c r="E1796" s="95"/>
      <c r="F1796" s="95"/>
      <c r="G1796" s="95"/>
      <c r="H1796" s="95"/>
      <c r="I1796" s="95"/>
      <c r="J1796" s="95"/>
    </row>
    <row r="1797" spans="1:10" ht="15" x14ac:dyDescent="0.2">
      <c r="A1797" s="75" t="s">
        <v>538</v>
      </c>
      <c r="B1797" s="17" t="s">
        <v>11</v>
      </c>
      <c r="C1797" s="75" t="s">
        <v>12</v>
      </c>
      <c r="D1797" s="75" t="s">
        <v>2</v>
      </c>
      <c r="E1797" s="124" t="s">
        <v>779</v>
      </c>
      <c r="F1797" s="124"/>
      <c r="G1797" s="76" t="s">
        <v>3</v>
      </c>
      <c r="H1797" s="17" t="s">
        <v>4</v>
      </c>
      <c r="I1797" s="17" t="s">
        <v>13</v>
      </c>
      <c r="J1797" s="17" t="s">
        <v>17</v>
      </c>
    </row>
    <row r="1798" spans="1:10" ht="25.5" x14ac:dyDescent="0.2">
      <c r="A1798" s="19" t="s">
        <v>780</v>
      </c>
      <c r="B1798" s="20" t="s">
        <v>539</v>
      </c>
      <c r="C1798" s="19" t="s">
        <v>15</v>
      </c>
      <c r="D1798" s="19" t="s">
        <v>540</v>
      </c>
      <c r="E1798" s="125">
        <v>14.11</v>
      </c>
      <c r="F1798" s="125"/>
      <c r="G1798" s="21" t="s">
        <v>5</v>
      </c>
      <c r="H1798" s="86">
        <v>1</v>
      </c>
      <c r="I1798" s="82">
        <v>122.32</v>
      </c>
      <c r="J1798" s="82">
        <v>122.32</v>
      </c>
    </row>
    <row r="1799" spans="1:10" ht="38.25" x14ac:dyDescent="0.2">
      <c r="A1799" s="87" t="s">
        <v>781</v>
      </c>
      <c r="B1799" s="88" t="s">
        <v>832</v>
      </c>
      <c r="C1799" s="87" t="s">
        <v>15</v>
      </c>
      <c r="D1799" s="87" t="s">
        <v>833</v>
      </c>
      <c r="E1799" s="126" t="s">
        <v>784</v>
      </c>
      <c r="F1799" s="126"/>
      <c r="G1799" s="89" t="s">
        <v>785</v>
      </c>
      <c r="H1799" s="90">
        <v>1.1399999999999999</v>
      </c>
      <c r="I1799" s="91">
        <v>22.61</v>
      </c>
      <c r="J1799" s="91">
        <v>25.77</v>
      </c>
    </row>
    <row r="1800" spans="1:10" ht="38.25" x14ac:dyDescent="0.2">
      <c r="A1800" s="87" t="s">
        <v>781</v>
      </c>
      <c r="B1800" s="88" t="s">
        <v>816</v>
      </c>
      <c r="C1800" s="87" t="s">
        <v>15</v>
      </c>
      <c r="D1800" s="87" t="s">
        <v>817</v>
      </c>
      <c r="E1800" s="126" t="s">
        <v>784</v>
      </c>
      <c r="F1800" s="126"/>
      <c r="G1800" s="89" t="s">
        <v>785</v>
      </c>
      <c r="H1800" s="90">
        <v>1.24</v>
      </c>
      <c r="I1800" s="91">
        <v>18.57</v>
      </c>
      <c r="J1800" s="91">
        <v>23.02</v>
      </c>
    </row>
    <row r="1801" spans="1:10" ht="38.25" x14ac:dyDescent="0.2">
      <c r="A1801" s="87" t="s">
        <v>781</v>
      </c>
      <c r="B1801" s="88" t="s">
        <v>913</v>
      </c>
      <c r="C1801" s="87" t="s">
        <v>15</v>
      </c>
      <c r="D1801" s="87" t="s">
        <v>914</v>
      </c>
      <c r="E1801" s="126" t="s">
        <v>794</v>
      </c>
      <c r="F1801" s="126"/>
      <c r="G1801" s="89" t="s">
        <v>134</v>
      </c>
      <c r="H1801" s="90">
        <v>4.8099999999999996</v>
      </c>
      <c r="I1801" s="91">
        <v>0.6</v>
      </c>
      <c r="J1801" s="91">
        <v>2.88</v>
      </c>
    </row>
    <row r="1802" spans="1:10" ht="38.25" x14ac:dyDescent="0.2">
      <c r="A1802" s="87" t="s">
        <v>781</v>
      </c>
      <c r="B1802" s="88" t="s">
        <v>909</v>
      </c>
      <c r="C1802" s="87" t="s">
        <v>15</v>
      </c>
      <c r="D1802" s="87" t="s">
        <v>910</v>
      </c>
      <c r="E1802" s="126" t="s">
        <v>794</v>
      </c>
      <c r="F1802" s="126"/>
      <c r="G1802" s="89" t="s">
        <v>134</v>
      </c>
      <c r="H1802" s="90">
        <v>0.6</v>
      </c>
      <c r="I1802" s="91">
        <v>0.88</v>
      </c>
      <c r="J1802" s="91">
        <v>0.52</v>
      </c>
    </row>
    <row r="1803" spans="1:10" ht="38.25" x14ac:dyDescent="0.2">
      <c r="A1803" s="87" t="s">
        <v>781</v>
      </c>
      <c r="B1803" s="88" t="s">
        <v>911</v>
      </c>
      <c r="C1803" s="87" t="s">
        <v>15</v>
      </c>
      <c r="D1803" s="87" t="s">
        <v>912</v>
      </c>
      <c r="E1803" s="126" t="s">
        <v>794</v>
      </c>
      <c r="F1803" s="126"/>
      <c r="G1803" s="89" t="s">
        <v>50</v>
      </c>
      <c r="H1803" s="90">
        <v>1.2E-2</v>
      </c>
      <c r="I1803" s="91">
        <v>167.7</v>
      </c>
      <c r="J1803" s="91">
        <v>2.0099999999999998</v>
      </c>
    </row>
    <row r="1804" spans="1:10" ht="38.25" x14ac:dyDescent="0.2">
      <c r="A1804" s="87" t="s">
        <v>781</v>
      </c>
      <c r="B1804" s="88" t="s">
        <v>1342</v>
      </c>
      <c r="C1804" s="87" t="s">
        <v>15</v>
      </c>
      <c r="D1804" s="87" t="s">
        <v>1343</v>
      </c>
      <c r="E1804" s="126" t="s">
        <v>794</v>
      </c>
      <c r="F1804" s="126"/>
      <c r="G1804" s="89" t="s">
        <v>32</v>
      </c>
      <c r="H1804" s="90">
        <v>13</v>
      </c>
      <c r="I1804" s="91">
        <v>5.24</v>
      </c>
      <c r="J1804" s="91">
        <v>68.12</v>
      </c>
    </row>
    <row r="1805" spans="1:10" ht="38.25" x14ac:dyDescent="0.2">
      <c r="A1805" s="92"/>
      <c r="B1805" s="92"/>
      <c r="C1805" s="92"/>
      <c r="D1805" s="92"/>
      <c r="E1805" s="92" t="s">
        <v>801</v>
      </c>
      <c r="F1805" s="93">
        <v>48.79</v>
      </c>
      <c r="G1805" s="92" t="s">
        <v>802</v>
      </c>
      <c r="H1805" s="93">
        <v>0</v>
      </c>
      <c r="I1805" s="92" t="s">
        <v>803</v>
      </c>
      <c r="J1805" s="93">
        <v>48.79</v>
      </c>
    </row>
    <row r="1806" spans="1:10" ht="38.25" x14ac:dyDescent="0.2">
      <c r="A1806" s="92"/>
      <c r="B1806" s="92"/>
      <c r="C1806" s="92"/>
      <c r="D1806" s="92"/>
      <c r="E1806" s="92" t="s">
        <v>804</v>
      </c>
      <c r="F1806" s="93">
        <v>35.25</v>
      </c>
      <c r="G1806" s="92"/>
      <c r="H1806" s="127" t="s">
        <v>805</v>
      </c>
      <c r="I1806" s="127"/>
      <c r="J1806" s="93">
        <v>157.57</v>
      </c>
    </row>
    <row r="1807" spans="1:10" ht="15" thickBot="1" x14ac:dyDescent="0.25">
      <c r="A1807" s="77"/>
      <c r="B1807" s="77"/>
      <c r="C1807" s="77"/>
      <c r="D1807" s="77"/>
      <c r="E1807" s="77"/>
      <c r="F1807" s="77"/>
      <c r="G1807" s="77" t="s">
        <v>806</v>
      </c>
      <c r="H1807" s="94">
        <v>61.5</v>
      </c>
      <c r="I1807" s="77" t="s">
        <v>807</v>
      </c>
      <c r="J1807" s="78">
        <v>9690.5499999999993</v>
      </c>
    </row>
    <row r="1808" spans="1:10" ht="15" thickTop="1" x14ac:dyDescent="0.2">
      <c r="A1808" s="95"/>
      <c r="B1808" s="95"/>
      <c r="C1808" s="95"/>
      <c r="D1808" s="95"/>
      <c r="E1808" s="95"/>
      <c r="F1808" s="95"/>
      <c r="G1808" s="95"/>
      <c r="H1808" s="95"/>
      <c r="I1808" s="95"/>
      <c r="J1808" s="95"/>
    </row>
    <row r="1809" spans="1:10" ht="15" x14ac:dyDescent="0.2">
      <c r="A1809" s="75" t="s">
        <v>541</v>
      </c>
      <c r="B1809" s="17" t="s">
        <v>11</v>
      </c>
      <c r="C1809" s="75" t="s">
        <v>12</v>
      </c>
      <c r="D1809" s="75" t="s">
        <v>2</v>
      </c>
      <c r="E1809" s="124" t="s">
        <v>779</v>
      </c>
      <c r="F1809" s="124"/>
      <c r="G1809" s="76" t="s">
        <v>3</v>
      </c>
      <c r="H1809" s="17" t="s">
        <v>4</v>
      </c>
      <c r="I1809" s="17" t="s">
        <v>13</v>
      </c>
      <c r="J1809" s="17" t="s">
        <v>17</v>
      </c>
    </row>
    <row r="1810" spans="1:10" ht="25.5" x14ac:dyDescent="0.2">
      <c r="A1810" s="19" t="s">
        <v>780</v>
      </c>
      <c r="B1810" s="20" t="s">
        <v>132</v>
      </c>
      <c r="C1810" s="19" t="s">
        <v>15</v>
      </c>
      <c r="D1810" s="19" t="s">
        <v>133</v>
      </c>
      <c r="E1810" s="125">
        <v>10.01</v>
      </c>
      <c r="F1810" s="125"/>
      <c r="G1810" s="21" t="s">
        <v>134</v>
      </c>
      <c r="H1810" s="86">
        <v>1</v>
      </c>
      <c r="I1810" s="82">
        <v>10.38</v>
      </c>
      <c r="J1810" s="82">
        <v>10.38</v>
      </c>
    </row>
    <row r="1811" spans="1:10" ht="38.25" x14ac:dyDescent="0.2">
      <c r="A1811" s="87" t="s">
        <v>781</v>
      </c>
      <c r="B1811" s="88" t="s">
        <v>865</v>
      </c>
      <c r="C1811" s="87" t="s">
        <v>15</v>
      </c>
      <c r="D1811" s="87" t="s">
        <v>866</v>
      </c>
      <c r="E1811" s="126" t="s">
        <v>784</v>
      </c>
      <c r="F1811" s="126"/>
      <c r="G1811" s="89" t="s">
        <v>785</v>
      </c>
      <c r="H1811" s="90">
        <v>0.08</v>
      </c>
      <c r="I1811" s="91">
        <v>18.57</v>
      </c>
      <c r="J1811" s="91">
        <v>1.48</v>
      </c>
    </row>
    <row r="1812" spans="1:10" ht="38.25" x14ac:dyDescent="0.2">
      <c r="A1812" s="87" t="s">
        <v>781</v>
      </c>
      <c r="B1812" s="88" t="s">
        <v>867</v>
      </c>
      <c r="C1812" s="87" t="s">
        <v>15</v>
      </c>
      <c r="D1812" s="87" t="s">
        <v>868</v>
      </c>
      <c r="E1812" s="126" t="s">
        <v>784</v>
      </c>
      <c r="F1812" s="126"/>
      <c r="G1812" s="89" t="s">
        <v>785</v>
      </c>
      <c r="H1812" s="90">
        <v>0.04</v>
      </c>
      <c r="I1812" s="91">
        <v>22.61</v>
      </c>
      <c r="J1812" s="91">
        <v>0.9</v>
      </c>
    </row>
    <row r="1813" spans="1:10" ht="38.25" x14ac:dyDescent="0.2">
      <c r="A1813" s="87" t="s">
        <v>781</v>
      </c>
      <c r="B1813" s="88" t="s">
        <v>871</v>
      </c>
      <c r="C1813" s="87" t="s">
        <v>15</v>
      </c>
      <c r="D1813" s="87" t="s">
        <v>872</v>
      </c>
      <c r="E1813" s="126" t="s">
        <v>794</v>
      </c>
      <c r="F1813" s="126"/>
      <c r="G1813" s="89" t="s">
        <v>134</v>
      </c>
      <c r="H1813" s="90">
        <v>1.1000000000000001</v>
      </c>
      <c r="I1813" s="91">
        <v>6.9</v>
      </c>
      <c r="J1813" s="91">
        <v>7.59</v>
      </c>
    </row>
    <row r="1814" spans="1:10" ht="38.25" x14ac:dyDescent="0.2">
      <c r="A1814" s="87" t="s">
        <v>781</v>
      </c>
      <c r="B1814" s="88" t="s">
        <v>875</v>
      </c>
      <c r="C1814" s="87" t="s">
        <v>15</v>
      </c>
      <c r="D1814" s="87" t="s">
        <v>876</v>
      </c>
      <c r="E1814" s="126" t="s">
        <v>794</v>
      </c>
      <c r="F1814" s="126"/>
      <c r="G1814" s="89" t="s">
        <v>134</v>
      </c>
      <c r="H1814" s="90">
        <v>0.03</v>
      </c>
      <c r="I1814" s="91">
        <v>13.7</v>
      </c>
      <c r="J1814" s="91">
        <v>0.41</v>
      </c>
    </row>
    <row r="1815" spans="1:10" ht="38.25" x14ac:dyDescent="0.2">
      <c r="A1815" s="92"/>
      <c r="B1815" s="92"/>
      <c r="C1815" s="92"/>
      <c r="D1815" s="92"/>
      <c r="E1815" s="92" t="s">
        <v>801</v>
      </c>
      <c r="F1815" s="93">
        <v>2.38</v>
      </c>
      <c r="G1815" s="92" t="s">
        <v>802</v>
      </c>
      <c r="H1815" s="93">
        <v>0</v>
      </c>
      <c r="I1815" s="92" t="s">
        <v>803</v>
      </c>
      <c r="J1815" s="93">
        <v>2.38</v>
      </c>
    </row>
    <row r="1816" spans="1:10" ht="38.25" x14ac:dyDescent="0.2">
      <c r="A1816" s="92"/>
      <c r="B1816" s="92"/>
      <c r="C1816" s="92"/>
      <c r="D1816" s="92"/>
      <c r="E1816" s="92" t="s">
        <v>804</v>
      </c>
      <c r="F1816" s="93">
        <v>2.99</v>
      </c>
      <c r="G1816" s="92"/>
      <c r="H1816" s="127" t="s">
        <v>805</v>
      </c>
      <c r="I1816" s="127"/>
      <c r="J1816" s="93">
        <v>13.37</v>
      </c>
    </row>
    <row r="1817" spans="1:10" ht="15" thickBot="1" x14ac:dyDescent="0.25">
      <c r="A1817" s="77"/>
      <c r="B1817" s="77"/>
      <c r="C1817" s="77"/>
      <c r="D1817" s="77"/>
      <c r="E1817" s="77"/>
      <c r="F1817" s="77"/>
      <c r="G1817" s="77" t="s">
        <v>806</v>
      </c>
      <c r="H1817" s="94">
        <v>434</v>
      </c>
      <c r="I1817" s="77" t="s">
        <v>807</v>
      </c>
      <c r="J1817" s="78">
        <v>5802.58</v>
      </c>
    </row>
    <row r="1818" spans="1:10" ht="15" thickTop="1" x14ac:dyDescent="0.2">
      <c r="A1818" s="95"/>
      <c r="B1818" s="95"/>
      <c r="C1818" s="95"/>
      <c r="D1818" s="95"/>
      <c r="E1818" s="95"/>
      <c r="F1818" s="95"/>
      <c r="G1818" s="95"/>
      <c r="H1818" s="95"/>
      <c r="I1818" s="95"/>
      <c r="J1818" s="95"/>
    </row>
    <row r="1819" spans="1:10" ht="15" x14ac:dyDescent="0.2">
      <c r="A1819" s="75" t="s">
        <v>542</v>
      </c>
      <c r="B1819" s="17" t="s">
        <v>11</v>
      </c>
      <c r="C1819" s="75" t="s">
        <v>12</v>
      </c>
      <c r="D1819" s="75" t="s">
        <v>2</v>
      </c>
      <c r="E1819" s="124" t="s">
        <v>779</v>
      </c>
      <c r="F1819" s="124"/>
      <c r="G1819" s="76" t="s">
        <v>3</v>
      </c>
      <c r="H1819" s="17" t="s">
        <v>4</v>
      </c>
      <c r="I1819" s="17" t="s">
        <v>13</v>
      </c>
      <c r="J1819" s="17" t="s">
        <v>17</v>
      </c>
    </row>
    <row r="1820" spans="1:10" ht="25.5" x14ac:dyDescent="0.2">
      <c r="A1820" s="19" t="s">
        <v>780</v>
      </c>
      <c r="B1820" s="20" t="s">
        <v>169</v>
      </c>
      <c r="C1820" s="19" t="s">
        <v>15</v>
      </c>
      <c r="D1820" s="19" t="s">
        <v>170</v>
      </c>
      <c r="E1820" s="125">
        <v>11.05</v>
      </c>
      <c r="F1820" s="125"/>
      <c r="G1820" s="21" t="s">
        <v>50</v>
      </c>
      <c r="H1820" s="86">
        <v>1</v>
      </c>
      <c r="I1820" s="82">
        <v>421.36</v>
      </c>
      <c r="J1820" s="82">
        <v>421.36</v>
      </c>
    </row>
    <row r="1821" spans="1:10" ht="38.25" x14ac:dyDescent="0.2">
      <c r="A1821" s="87" t="s">
        <v>781</v>
      </c>
      <c r="B1821" s="88" t="s">
        <v>832</v>
      </c>
      <c r="C1821" s="87" t="s">
        <v>15</v>
      </c>
      <c r="D1821" s="87" t="s">
        <v>833</v>
      </c>
      <c r="E1821" s="126" t="s">
        <v>784</v>
      </c>
      <c r="F1821" s="126"/>
      <c r="G1821" s="89" t="s">
        <v>785</v>
      </c>
      <c r="H1821" s="90">
        <v>0.25</v>
      </c>
      <c r="I1821" s="91">
        <v>22.61</v>
      </c>
      <c r="J1821" s="91">
        <v>5.65</v>
      </c>
    </row>
    <row r="1822" spans="1:10" ht="38.25" x14ac:dyDescent="0.2">
      <c r="A1822" s="87" t="s">
        <v>781</v>
      </c>
      <c r="B1822" s="88" t="s">
        <v>816</v>
      </c>
      <c r="C1822" s="87" t="s">
        <v>15</v>
      </c>
      <c r="D1822" s="87" t="s">
        <v>817</v>
      </c>
      <c r="E1822" s="126" t="s">
        <v>784</v>
      </c>
      <c r="F1822" s="126"/>
      <c r="G1822" s="89" t="s">
        <v>785</v>
      </c>
      <c r="H1822" s="90">
        <v>2.5</v>
      </c>
      <c r="I1822" s="91">
        <v>18.57</v>
      </c>
      <c r="J1822" s="91">
        <v>46.42</v>
      </c>
    </row>
    <row r="1823" spans="1:10" ht="38.25" x14ac:dyDescent="0.2">
      <c r="A1823" s="87" t="s">
        <v>781</v>
      </c>
      <c r="B1823" s="88" t="s">
        <v>913</v>
      </c>
      <c r="C1823" s="87" t="s">
        <v>15</v>
      </c>
      <c r="D1823" s="87" t="s">
        <v>914</v>
      </c>
      <c r="E1823" s="126" t="s">
        <v>794</v>
      </c>
      <c r="F1823" s="126"/>
      <c r="G1823" s="89" t="s">
        <v>134</v>
      </c>
      <c r="H1823" s="90">
        <v>283</v>
      </c>
      <c r="I1823" s="91">
        <v>0.6</v>
      </c>
      <c r="J1823" s="91">
        <v>169.8</v>
      </c>
    </row>
    <row r="1824" spans="1:10" ht="38.25" x14ac:dyDescent="0.2">
      <c r="A1824" s="87" t="s">
        <v>781</v>
      </c>
      <c r="B1824" s="88" t="s">
        <v>909</v>
      </c>
      <c r="C1824" s="87" t="s">
        <v>15</v>
      </c>
      <c r="D1824" s="87" t="s">
        <v>910</v>
      </c>
      <c r="E1824" s="126" t="s">
        <v>794</v>
      </c>
      <c r="F1824" s="126"/>
      <c r="G1824" s="89" t="s">
        <v>134</v>
      </c>
      <c r="H1824" s="90">
        <v>20</v>
      </c>
      <c r="I1824" s="91">
        <v>0.88</v>
      </c>
      <c r="J1824" s="91">
        <v>17.600000000000001</v>
      </c>
    </row>
    <row r="1825" spans="1:10" ht="38.25" x14ac:dyDescent="0.2">
      <c r="A1825" s="87" t="s">
        <v>781</v>
      </c>
      <c r="B1825" s="88" t="s">
        <v>911</v>
      </c>
      <c r="C1825" s="87" t="s">
        <v>15</v>
      </c>
      <c r="D1825" s="87" t="s">
        <v>912</v>
      </c>
      <c r="E1825" s="126" t="s">
        <v>794</v>
      </c>
      <c r="F1825" s="126"/>
      <c r="G1825" s="89" t="s">
        <v>50</v>
      </c>
      <c r="H1825" s="90">
        <v>0.72</v>
      </c>
      <c r="I1825" s="91">
        <v>167.7</v>
      </c>
      <c r="J1825" s="91">
        <v>120.74</v>
      </c>
    </row>
    <row r="1826" spans="1:10" ht="38.25" x14ac:dyDescent="0.2">
      <c r="A1826" s="87" t="s">
        <v>781</v>
      </c>
      <c r="B1826" s="88" t="s">
        <v>917</v>
      </c>
      <c r="C1826" s="87" t="s">
        <v>15</v>
      </c>
      <c r="D1826" s="87" t="s">
        <v>918</v>
      </c>
      <c r="E1826" s="126" t="s">
        <v>794</v>
      </c>
      <c r="F1826" s="126"/>
      <c r="G1826" s="89" t="s">
        <v>50</v>
      </c>
      <c r="H1826" s="90">
        <v>0.28000000000000003</v>
      </c>
      <c r="I1826" s="91">
        <v>176.1</v>
      </c>
      <c r="J1826" s="91">
        <v>49.3</v>
      </c>
    </row>
    <row r="1827" spans="1:10" ht="38.25" x14ac:dyDescent="0.2">
      <c r="A1827" s="87" t="s">
        <v>781</v>
      </c>
      <c r="B1827" s="88" t="s">
        <v>919</v>
      </c>
      <c r="C1827" s="87" t="s">
        <v>15</v>
      </c>
      <c r="D1827" s="87" t="s">
        <v>920</v>
      </c>
      <c r="E1827" s="126" t="s">
        <v>794</v>
      </c>
      <c r="F1827" s="126"/>
      <c r="G1827" s="89" t="s">
        <v>785</v>
      </c>
      <c r="H1827" s="90">
        <v>0.43</v>
      </c>
      <c r="I1827" s="91">
        <v>27.56</v>
      </c>
      <c r="J1827" s="91">
        <v>11.85</v>
      </c>
    </row>
    <row r="1828" spans="1:10" ht="38.25" x14ac:dyDescent="0.2">
      <c r="A1828" s="92"/>
      <c r="B1828" s="92"/>
      <c r="C1828" s="92"/>
      <c r="D1828" s="92"/>
      <c r="E1828" s="92" t="s">
        <v>801</v>
      </c>
      <c r="F1828" s="93">
        <v>52.07</v>
      </c>
      <c r="G1828" s="92" t="s">
        <v>802</v>
      </c>
      <c r="H1828" s="93">
        <v>0</v>
      </c>
      <c r="I1828" s="92" t="s">
        <v>803</v>
      </c>
      <c r="J1828" s="93">
        <v>52.07</v>
      </c>
    </row>
    <row r="1829" spans="1:10" ht="38.25" x14ac:dyDescent="0.2">
      <c r="A1829" s="92"/>
      <c r="B1829" s="92"/>
      <c r="C1829" s="92"/>
      <c r="D1829" s="92"/>
      <c r="E1829" s="92" t="s">
        <v>804</v>
      </c>
      <c r="F1829" s="93">
        <v>121.43</v>
      </c>
      <c r="G1829" s="92"/>
      <c r="H1829" s="127" t="s">
        <v>805</v>
      </c>
      <c r="I1829" s="127"/>
      <c r="J1829" s="93">
        <v>542.79</v>
      </c>
    </row>
    <row r="1830" spans="1:10" ht="15" thickBot="1" x14ac:dyDescent="0.25">
      <c r="A1830" s="77"/>
      <c r="B1830" s="77"/>
      <c r="C1830" s="77"/>
      <c r="D1830" s="77"/>
      <c r="E1830" s="77"/>
      <c r="F1830" s="77"/>
      <c r="G1830" s="77" t="s">
        <v>806</v>
      </c>
      <c r="H1830" s="94">
        <v>3.83</v>
      </c>
      <c r="I1830" s="77" t="s">
        <v>807</v>
      </c>
      <c r="J1830" s="78">
        <v>2078.88</v>
      </c>
    </row>
    <row r="1831" spans="1:10" ht="15" thickTop="1" x14ac:dyDescent="0.2">
      <c r="A1831" s="95"/>
      <c r="B1831" s="95"/>
      <c r="C1831" s="95"/>
      <c r="D1831" s="95"/>
      <c r="E1831" s="95"/>
      <c r="F1831" s="95"/>
      <c r="G1831" s="95"/>
      <c r="H1831" s="95"/>
      <c r="I1831" s="95"/>
      <c r="J1831" s="95"/>
    </row>
    <row r="1832" spans="1:10" ht="15" x14ac:dyDescent="0.2">
      <c r="A1832" s="75" t="s">
        <v>543</v>
      </c>
      <c r="B1832" s="17" t="s">
        <v>11</v>
      </c>
      <c r="C1832" s="75" t="s">
        <v>12</v>
      </c>
      <c r="D1832" s="75" t="s">
        <v>2</v>
      </c>
      <c r="E1832" s="124" t="s">
        <v>779</v>
      </c>
      <c r="F1832" s="124"/>
      <c r="G1832" s="76" t="s">
        <v>3</v>
      </c>
      <c r="H1832" s="17" t="s">
        <v>4</v>
      </c>
      <c r="I1832" s="17" t="s">
        <v>13</v>
      </c>
      <c r="J1832" s="17" t="s">
        <v>17</v>
      </c>
    </row>
    <row r="1833" spans="1:10" ht="25.5" x14ac:dyDescent="0.2">
      <c r="A1833" s="19" t="s">
        <v>780</v>
      </c>
      <c r="B1833" s="20" t="s">
        <v>544</v>
      </c>
      <c r="C1833" s="19" t="s">
        <v>15</v>
      </c>
      <c r="D1833" s="19" t="s">
        <v>545</v>
      </c>
      <c r="E1833" s="125">
        <v>34.049999999999997</v>
      </c>
      <c r="F1833" s="125"/>
      <c r="G1833" s="21" t="s">
        <v>5</v>
      </c>
      <c r="H1833" s="86">
        <v>1</v>
      </c>
      <c r="I1833" s="82">
        <v>550.47</v>
      </c>
      <c r="J1833" s="82">
        <v>550.47</v>
      </c>
    </row>
    <row r="1834" spans="1:10" ht="38.25" x14ac:dyDescent="0.2">
      <c r="A1834" s="87" t="s">
        <v>781</v>
      </c>
      <c r="B1834" s="88" t="s">
        <v>808</v>
      </c>
      <c r="C1834" s="87" t="s">
        <v>15</v>
      </c>
      <c r="D1834" s="87" t="s">
        <v>809</v>
      </c>
      <c r="E1834" s="126" t="s">
        <v>784</v>
      </c>
      <c r="F1834" s="126"/>
      <c r="G1834" s="89" t="s">
        <v>785</v>
      </c>
      <c r="H1834" s="90">
        <v>3.0000000000000001E-3</v>
      </c>
      <c r="I1834" s="91">
        <v>18.57</v>
      </c>
      <c r="J1834" s="91">
        <v>0.05</v>
      </c>
    </row>
    <row r="1835" spans="1:10" ht="38.25" x14ac:dyDescent="0.2">
      <c r="A1835" s="87" t="s">
        <v>781</v>
      </c>
      <c r="B1835" s="88" t="s">
        <v>790</v>
      </c>
      <c r="C1835" s="87" t="s">
        <v>15</v>
      </c>
      <c r="D1835" s="87" t="s">
        <v>791</v>
      </c>
      <c r="E1835" s="126" t="s">
        <v>784</v>
      </c>
      <c r="F1835" s="126"/>
      <c r="G1835" s="89" t="s">
        <v>785</v>
      </c>
      <c r="H1835" s="90">
        <v>0.124</v>
      </c>
      <c r="I1835" s="91">
        <v>22.61</v>
      </c>
      <c r="J1835" s="91">
        <v>2.8</v>
      </c>
    </row>
    <row r="1836" spans="1:10" ht="38.25" x14ac:dyDescent="0.2">
      <c r="A1836" s="87" t="s">
        <v>781</v>
      </c>
      <c r="B1836" s="88" t="s">
        <v>782</v>
      </c>
      <c r="C1836" s="87" t="s">
        <v>15</v>
      </c>
      <c r="D1836" s="87" t="s">
        <v>783</v>
      </c>
      <c r="E1836" s="126" t="s">
        <v>784</v>
      </c>
      <c r="F1836" s="126"/>
      <c r="G1836" s="89" t="s">
        <v>785</v>
      </c>
      <c r="H1836" s="90">
        <v>0.124</v>
      </c>
      <c r="I1836" s="91">
        <v>18.57</v>
      </c>
      <c r="J1836" s="91">
        <v>2.2999999999999998</v>
      </c>
    </row>
    <row r="1837" spans="1:10" ht="38.25" x14ac:dyDescent="0.2">
      <c r="A1837" s="87" t="s">
        <v>781</v>
      </c>
      <c r="B1837" s="88" t="s">
        <v>832</v>
      </c>
      <c r="C1837" s="87" t="s">
        <v>15</v>
      </c>
      <c r="D1837" s="87" t="s">
        <v>833</v>
      </c>
      <c r="E1837" s="126" t="s">
        <v>784</v>
      </c>
      <c r="F1837" s="126"/>
      <c r="G1837" s="89" t="s">
        <v>785</v>
      </c>
      <c r="H1837" s="90">
        <v>2.5999999999999999E-2</v>
      </c>
      <c r="I1837" s="91">
        <v>22.61</v>
      </c>
      <c r="J1837" s="91">
        <v>0.57999999999999996</v>
      </c>
    </row>
    <row r="1838" spans="1:10" ht="38.25" x14ac:dyDescent="0.2">
      <c r="A1838" s="87" t="s">
        <v>781</v>
      </c>
      <c r="B1838" s="88" t="s">
        <v>972</v>
      </c>
      <c r="C1838" s="87" t="s">
        <v>15</v>
      </c>
      <c r="D1838" s="87" t="s">
        <v>973</v>
      </c>
      <c r="E1838" s="126" t="s">
        <v>784</v>
      </c>
      <c r="F1838" s="126"/>
      <c r="G1838" s="89" t="s">
        <v>785</v>
      </c>
      <c r="H1838" s="90">
        <v>0.5</v>
      </c>
      <c r="I1838" s="91">
        <v>29.49</v>
      </c>
      <c r="J1838" s="91">
        <v>14.74</v>
      </c>
    </row>
    <row r="1839" spans="1:10" ht="38.25" x14ac:dyDescent="0.2">
      <c r="A1839" s="87" t="s">
        <v>781</v>
      </c>
      <c r="B1839" s="88" t="s">
        <v>974</v>
      </c>
      <c r="C1839" s="87" t="s">
        <v>15</v>
      </c>
      <c r="D1839" s="87" t="s">
        <v>975</v>
      </c>
      <c r="E1839" s="126" t="s">
        <v>784</v>
      </c>
      <c r="F1839" s="126"/>
      <c r="G1839" s="89" t="s">
        <v>785</v>
      </c>
      <c r="H1839" s="90">
        <v>0.5</v>
      </c>
      <c r="I1839" s="91">
        <v>18.57</v>
      </c>
      <c r="J1839" s="91">
        <v>9.2799999999999994</v>
      </c>
    </row>
    <row r="1840" spans="1:10" ht="38.25" x14ac:dyDescent="0.2">
      <c r="A1840" s="87" t="s">
        <v>781</v>
      </c>
      <c r="B1840" s="88" t="s">
        <v>816</v>
      </c>
      <c r="C1840" s="87" t="s">
        <v>15</v>
      </c>
      <c r="D1840" s="87" t="s">
        <v>817</v>
      </c>
      <c r="E1840" s="126" t="s">
        <v>784</v>
      </c>
      <c r="F1840" s="126"/>
      <c r="G1840" s="89" t="s">
        <v>785</v>
      </c>
      <c r="H1840" s="90">
        <v>0.33700000000000002</v>
      </c>
      <c r="I1840" s="91">
        <v>18.57</v>
      </c>
      <c r="J1840" s="91">
        <v>6.25</v>
      </c>
    </row>
    <row r="1841" spans="1:10" ht="38.25" x14ac:dyDescent="0.2">
      <c r="A1841" s="87" t="s">
        <v>781</v>
      </c>
      <c r="B1841" s="88" t="s">
        <v>913</v>
      </c>
      <c r="C1841" s="87" t="s">
        <v>15</v>
      </c>
      <c r="D1841" s="87" t="s">
        <v>914</v>
      </c>
      <c r="E1841" s="126" t="s">
        <v>794</v>
      </c>
      <c r="F1841" s="126"/>
      <c r="G1841" s="89" t="s">
        <v>134</v>
      </c>
      <c r="H1841" s="90">
        <v>5.3579999999999997</v>
      </c>
      <c r="I1841" s="91">
        <v>0.6</v>
      </c>
      <c r="J1841" s="91">
        <v>3.21</v>
      </c>
    </row>
    <row r="1842" spans="1:10" ht="38.25" x14ac:dyDescent="0.2">
      <c r="A1842" s="87" t="s">
        <v>781</v>
      </c>
      <c r="B1842" s="88" t="s">
        <v>909</v>
      </c>
      <c r="C1842" s="87" t="s">
        <v>15</v>
      </c>
      <c r="D1842" s="87" t="s">
        <v>910</v>
      </c>
      <c r="E1842" s="126" t="s">
        <v>794</v>
      </c>
      <c r="F1842" s="126"/>
      <c r="G1842" s="89" t="s">
        <v>134</v>
      </c>
      <c r="H1842" s="90">
        <v>9.6000000000000002E-2</v>
      </c>
      <c r="I1842" s="91">
        <v>0.88</v>
      </c>
      <c r="J1842" s="91">
        <v>0.08</v>
      </c>
    </row>
    <row r="1843" spans="1:10" ht="38.25" x14ac:dyDescent="0.2">
      <c r="A1843" s="87" t="s">
        <v>781</v>
      </c>
      <c r="B1843" s="88" t="s">
        <v>911</v>
      </c>
      <c r="C1843" s="87" t="s">
        <v>15</v>
      </c>
      <c r="D1843" s="87" t="s">
        <v>912</v>
      </c>
      <c r="E1843" s="126" t="s">
        <v>794</v>
      </c>
      <c r="F1843" s="126"/>
      <c r="G1843" s="89" t="s">
        <v>50</v>
      </c>
      <c r="H1843" s="90">
        <v>1.4999999999999999E-2</v>
      </c>
      <c r="I1843" s="91">
        <v>167.7</v>
      </c>
      <c r="J1843" s="91">
        <v>2.5099999999999998</v>
      </c>
    </row>
    <row r="1844" spans="1:10" ht="38.25" x14ac:dyDescent="0.2">
      <c r="A1844" s="87" t="s">
        <v>781</v>
      </c>
      <c r="B1844" s="88" t="s">
        <v>897</v>
      </c>
      <c r="C1844" s="87" t="s">
        <v>15</v>
      </c>
      <c r="D1844" s="87" t="s">
        <v>898</v>
      </c>
      <c r="E1844" s="126" t="s">
        <v>794</v>
      </c>
      <c r="F1844" s="126"/>
      <c r="G1844" s="89" t="s">
        <v>50</v>
      </c>
      <c r="H1844" s="90">
        <v>1.2999999999999999E-2</v>
      </c>
      <c r="I1844" s="91">
        <v>147.22999999999999</v>
      </c>
      <c r="J1844" s="91">
        <v>1.91</v>
      </c>
    </row>
    <row r="1845" spans="1:10" ht="38.25" x14ac:dyDescent="0.2">
      <c r="A1845" s="87" t="s">
        <v>781</v>
      </c>
      <c r="B1845" s="88" t="s">
        <v>917</v>
      </c>
      <c r="C1845" s="87" t="s">
        <v>15</v>
      </c>
      <c r="D1845" s="87" t="s">
        <v>918</v>
      </c>
      <c r="E1845" s="126" t="s">
        <v>794</v>
      </c>
      <c r="F1845" s="126"/>
      <c r="G1845" s="89" t="s">
        <v>50</v>
      </c>
      <c r="H1845" s="90">
        <v>1E-3</v>
      </c>
      <c r="I1845" s="91">
        <v>176.1</v>
      </c>
      <c r="J1845" s="91">
        <v>0.17</v>
      </c>
    </row>
    <row r="1846" spans="1:10" ht="38.25" x14ac:dyDescent="0.2">
      <c r="A1846" s="87" t="s">
        <v>781</v>
      </c>
      <c r="B1846" s="88" t="s">
        <v>893</v>
      </c>
      <c r="C1846" s="87" t="s">
        <v>15</v>
      </c>
      <c r="D1846" s="87" t="s">
        <v>894</v>
      </c>
      <c r="E1846" s="126" t="s">
        <v>794</v>
      </c>
      <c r="F1846" s="126"/>
      <c r="G1846" s="89" t="s">
        <v>78</v>
      </c>
      <c r="H1846" s="90">
        <v>4.8000000000000001E-2</v>
      </c>
      <c r="I1846" s="91">
        <v>7.59</v>
      </c>
      <c r="J1846" s="91">
        <v>0.36</v>
      </c>
    </row>
    <row r="1847" spans="1:10" ht="38.25" x14ac:dyDescent="0.2">
      <c r="A1847" s="87" t="s">
        <v>781</v>
      </c>
      <c r="B1847" s="88" t="s">
        <v>818</v>
      </c>
      <c r="C1847" s="87" t="s">
        <v>15</v>
      </c>
      <c r="D1847" s="87" t="s">
        <v>819</v>
      </c>
      <c r="E1847" s="126" t="s">
        <v>794</v>
      </c>
      <c r="F1847" s="126"/>
      <c r="G1847" s="89" t="s">
        <v>5</v>
      </c>
      <c r="H1847" s="90">
        <v>2.9000000000000001E-2</v>
      </c>
      <c r="I1847" s="91">
        <v>112.78</v>
      </c>
      <c r="J1847" s="91">
        <v>3.27</v>
      </c>
    </row>
    <row r="1848" spans="1:10" ht="38.25" x14ac:dyDescent="0.2">
      <c r="A1848" s="87" t="s">
        <v>781</v>
      </c>
      <c r="B1848" s="88" t="s">
        <v>795</v>
      </c>
      <c r="C1848" s="87" t="s">
        <v>15</v>
      </c>
      <c r="D1848" s="87" t="s">
        <v>796</v>
      </c>
      <c r="E1848" s="126" t="s">
        <v>794</v>
      </c>
      <c r="F1848" s="126"/>
      <c r="G1848" s="89" t="s">
        <v>134</v>
      </c>
      <c r="H1848" s="90">
        <v>1.4E-2</v>
      </c>
      <c r="I1848" s="91">
        <v>11.64</v>
      </c>
      <c r="J1848" s="91">
        <v>0.16</v>
      </c>
    </row>
    <row r="1849" spans="1:10" ht="38.25" x14ac:dyDescent="0.2">
      <c r="A1849" s="87" t="s">
        <v>781</v>
      </c>
      <c r="B1849" s="88" t="s">
        <v>895</v>
      </c>
      <c r="C1849" s="87" t="s">
        <v>15</v>
      </c>
      <c r="D1849" s="87" t="s">
        <v>896</v>
      </c>
      <c r="E1849" s="126" t="s">
        <v>794</v>
      </c>
      <c r="F1849" s="126"/>
      <c r="G1849" s="89" t="s">
        <v>720</v>
      </c>
      <c r="H1849" s="90">
        <v>3.7999999999999999E-2</v>
      </c>
      <c r="I1849" s="91">
        <v>14.1</v>
      </c>
      <c r="J1849" s="91">
        <v>0.53</v>
      </c>
    </row>
    <row r="1850" spans="1:10" ht="38.25" x14ac:dyDescent="0.2">
      <c r="A1850" s="87" t="s">
        <v>781</v>
      </c>
      <c r="B1850" s="88" t="s">
        <v>919</v>
      </c>
      <c r="C1850" s="87" t="s">
        <v>15</v>
      </c>
      <c r="D1850" s="87" t="s">
        <v>920</v>
      </c>
      <c r="E1850" s="126" t="s">
        <v>794</v>
      </c>
      <c r="F1850" s="126"/>
      <c r="G1850" s="89" t="s">
        <v>785</v>
      </c>
      <c r="H1850" s="90">
        <v>1.0999999999999999E-2</v>
      </c>
      <c r="I1850" s="91">
        <v>27.56</v>
      </c>
      <c r="J1850" s="91">
        <v>0.3</v>
      </c>
    </row>
    <row r="1851" spans="1:10" ht="38.25" x14ac:dyDescent="0.2">
      <c r="A1851" s="87" t="s">
        <v>781</v>
      </c>
      <c r="B1851" s="88" t="s">
        <v>1344</v>
      </c>
      <c r="C1851" s="87" t="s">
        <v>15</v>
      </c>
      <c r="D1851" s="87" t="s">
        <v>1345</v>
      </c>
      <c r="E1851" s="126" t="s">
        <v>794</v>
      </c>
      <c r="F1851" s="126"/>
      <c r="G1851" s="89" t="s">
        <v>134</v>
      </c>
      <c r="H1851" s="90">
        <v>36.113</v>
      </c>
      <c r="I1851" s="91">
        <v>13.9</v>
      </c>
      <c r="J1851" s="91">
        <v>501.97</v>
      </c>
    </row>
    <row r="1852" spans="1:10" ht="38.25" x14ac:dyDescent="0.2">
      <c r="A1852" s="92"/>
      <c r="B1852" s="92"/>
      <c r="C1852" s="92"/>
      <c r="D1852" s="92"/>
      <c r="E1852" s="92" t="s">
        <v>801</v>
      </c>
      <c r="F1852" s="93">
        <v>36</v>
      </c>
      <c r="G1852" s="92" t="s">
        <v>802</v>
      </c>
      <c r="H1852" s="93">
        <v>0</v>
      </c>
      <c r="I1852" s="92" t="s">
        <v>803</v>
      </c>
      <c r="J1852" s="93">
        <v>36</v>
      </c>
    </row>
    <row r="1853" spans="1:10" ht="38.25" x14ac:dyDescent="0.2">
      <c r="A1853" s="92"/>
      <c r="B1853" s="92"/>
      <c r="C1853" s="92"/>
      <c r="D1853" s="92"/>
      <c r="E1853" s="92" t="s">
        <v>804</v>
      </c>
      <c r="F1853" s="93">
        <v>158.63999999999999</v>
      </c>
      <c r="G1853" s="92"/>
      <c r="H1853" s="127" t="s">
        <v>805</v>
      </c>
      <c r="I1853" s="127"/>
      <c r="J1853" s="93">
        <v>709.11</v>
      </c>
    </row>
    <row r="1854" spans="1:10" ht="15" thickBot="1" x14ac:dyDescent="0.25">
      <c r="A1854" s="77"/>
      <c r="B1854" s="77"/>
      <c r="C1854" s="77"/>
      <c r="D1854" s="77"/>
      <c r="E1854" s="77"/>
      <c r="F1854" s="77"/>
      <c r="G1854" s="77" t="s">
        <v>806</v>
      </c>
      <c r="H1854" s="94">
        <v>210.13</v>
      </c>
      <c r="I1854" s="77" t="s">
        <v>807</v>
      </c>
      <c r="J1854" s="78">
        <v>149005.28</v>
      </c>
    </row>
    <row r="1855" spans="1:10" ht="15" thickTop="1" x14ac:dyDescent="0.2">
      <c r="A1855" s="95"/>
      <c r="B1855" s="95"/>
      <c r="C1855" s="95"/>
      <c r="D1855" s="95"/>
      <c r="E1855" s="95"/>
      <c r="F1855" s="95"/>
      <c r="G1855" s="95"/>
      <c r="H1855" s="95"/>
      <c r="I1855" s="95"/>
      <c r="J1855" s="95"/>
    </row>
    <row r="1856" spans="1:10" ht="15" x14ac:dyDescent="0.2">
      <c r="A1856" s="75" t="s">
        <v>546</v>
      </c>
      <c r="B1856" s="17" t="s">
        <v>11</v>
      </c>
      <c r="C1856" s="75" t="s">
        <v>12</v>
      </c>
      <c r="D1856" s="75" t="s">
        <v>2</v>
      </c>
      <c r="E1856" s="124" t="s">
        <v>779</v>
      </c>
      <c r="F1856" s="124"/>
      <c r="G1856" s="76" t="s">
        <v>3</v>
      </c>
      <c r="H1856" s="17" t="s">
        <v>4</v>
      </c>
      <c r="I1856" s="17" t="s">
        <v>13</v>
      </c>
      <c r="J1856" s="17" t="s">
        <v>17</v>
      </c>
    </row>
    <row r="1857" spans="1:10" ht="25.5" x14ac:dyDescent="0.2">
      <c r="A1857" s="19" t="s">
        <v>780</v>
      </c>
      <c r="B1857" s="20" t="s">
        <v>547</v>
      </c>
      <c r="C1857" s="19" t="s">
        <v>15</v>
      </c>
      <c r="D1857" s="19" t="s">
        <v>548</v>
      </c>
      <c r="E1857" s="125">
        <v>16.329999999999998</v>
      </c>
      <c r="F1857" s="125"/>
      <c r="G1857" s="21" t="s">
        <v>32</v>
      </c>
      <c r="H1857" s="86">
        <v>1</v>
      </c>
      <c r="I1857" s="82">
        <v>19.89</v>
      </c>
      <c r="J1857" s="82">
        <v>19.89</v>
      </c>
    </row>
    <row r="1858" spans="1:10" ht="38.25" x14ac:dyDescent="0.2">
      <c r="A1858" s="87" t="s">
        <v>781</v>
      </c>
      <c r="B1858" s="88" t="s">
        <v>816</v>
      </c>
      <c r="C1858" s="87" t="s">
        <v>15</v>
      </c>
      <c r="D1858" s="87" t="s">
        <v>817</v>
      </c>
      <c r="E1858" s="126" t="s">
        <v>784</v>
      </c>
      <c r="F1858" s="126"/>
      <c r="G1858" s="89" t="s">
        <v>785</v>
      </c>
      <c r="H1858" s="90">
        <v>0.1</v>
      </c>
      <c r="I1858" s="91">
        <v>18.57</v>
      </c>
      <c r="J1858" s="91">
        <v>1.85</v>
      </c>
    </row>
    <row r="1859" spans="1:10" ht="38.25" x14ac:dyDescent="0.2">
      <c r="A1859" s="87" t="s">
        <v>781</v>
      </c>
      <c r="B1859" s="88" t="s">
        <v>913</v>
      </c>
      <c r="C1859" s="87" t="s">
        <v>15</v>
      </c>
      <c r="D1859" s="87" t="s">
        <v>914</v>
      </c>
      <c r="E1859" s="126" t="s">
        <v>794</v>
      </c>
      <c r="F1859" s="126"/>
      <c r="G1859" s="89" t="s">
        <v>134</v>
      </c>
      <c r="H1859" s="90">
        <v>1.1399999999999999</v>
      </c>
      <c r="I1859" s="91">
        <v>0.6</v>
      </c>
      <c r="J1859" s="91">
        <v>0.68</v>
      </c>
    </row>
    <row r="1860" spans="1:10" ht="38.25" x14ac:dyDescent="0.2">
      <c r="A1860" s="87" t="s">
        <v>781</v>
      </c>
      <c r="B1860" s="88" t="s">
        <v>909</v>
      </c>
      <c r="C1860" s="87" t="s">
        <v>15</v>
      </c>
      <c r="D1860" s="87" t="s">
        <v>910</v>
      </c>
      <c r="E1860" s="126" t="s">
        <v>794</v>
      </c>
      <c r="F1860" s="126"/>
      <c r="G1860" s="89" t="s">
        <v>134</v>
      </c>
      <c r="H1860" s="90">
        <v>0.56999999999999995</v>
      </c>
      <c r="I1860" s="91">
        <v>0.88</v>
      </c>
      <c r="J1860" s="91">
        <v>0.5</v>
      </c>
    </row>
    <row r="1861" spans="1:10" ht="38.25" x14ac:dyDescent="0.2">
      <c r="A1861" s="87" t="s">
        <v>781</v>
      </c>
      <c r="B1861" s="88" t="s">
        <v>911</v>
      </c>
      <c r="C1861" s="87" t="s">
        <v>15</v>
      </c>
      <c r="D1861" s="87" t="s">
        <v>912</v>
      </c>
      <c r="E1861" s="126" t="s">
        <v>794</v>
      </c>
      <c r="F1861" s="126"/>
      <c r="G1861" s="89" t="s">
        <v>50</v>
      </c>
      <c r="H1861" s="90">
        <v>3.8E-3</v>
      </c>
      <c r="I1861" s="91">
        <v>167.7</v>
      </c>
      <c r="J1861" s="91">
        <v>0.63</v>
      </c>
    </row>
    <row r="1862" spans="1:10" ht="38.25" x14ac:dyDescent="0.2">
      <c r="A1862" s="87" t="s">
        <v>781</v>
      </c>
      <c r="B1862" s="88" t="s">
        <v>1346</v>
      </c>
      <c r="C1862" s="87" t="s">
        <v>15</v>
      </c>
      <c r="D1862" s="87" t="s">
        <v>1347</v>
      </c>
      <c r="E1862" s="126" t="s">
        <v>794</v>
      </c>
      <c r="F1862" s="126"/>
      <c r="G1862" s="89" t="s">
        <v>32</v>
      </c>
      <c r="H1862" s="90">
        <v>1</v>
      </c>
      <c r="I1862" s="91">
        <v>16.23</v>
      </c>
      <c r="J1862" s="91">
        <v>16.23</v>
      </c>
    </row>
    <row r="1863" spans="1:10" ht="38.25" x14ac:dyDescent="0.2">
      <c r="A1863" s="92"/>
      <c r="B1863" s="92"/>
      <c r="C1863" s="92"/>
      <c r="D1863" s="92"/>
      <c r="E1863" s="92" t="s">
        <v>801</v>
      </c>
      <c r="F1863" s="93">
        <v>1.85</v>
      </c>
      <c r="G1863" s="92" t="s">
        <v>802</v>
      </c>
      <c r="H1863" s="93">
        <v>0</v>
      </c>
      <c r="I1863" s="92" t="s">
        <v>803</v>
      </c>
      <c r="J1863" s="93">
        <v>1.85</v>
      </c>
    </row>
    <row r="1864" spans="1:10" ht="38.25" x14ac:dyDescent="0.2">
      <c r="A1864" s="92"/>
      <c r="B1864" s="92"/>
      <c r="C1864" s="92"/>
      <c r="D1864" s="92"/>
      <c r="E1864" s="92" t="s">
        <v>804</v>
      </c>
      <c r="F1864" s="93">
        <v>5.73</v>
      </c>
      <c r="G1864" s="92"/>
      <c r="H1864" s="127" t="s">
        <v>805</v>
      </c>
      <c r="I1864" s="127"/>
      <c r="J1864" s="93">
        <v>25.62</v>
      </c>
    </row>
    <row r="1865" spans="1:10" ht="15" thickBot="1" x14ac:dyDescent="0.25">
      <c r="A1865" s="77"/>
      <c r="B1865" s="77"/>
      <c r="C1865" s="77"/>
      <c r="D1865" s="77"/>
      <c r="E1865" s="77"/>
      <c r="F1865" s="77"/>
      <c r="G1865" s="77" t="s">
        <v>806</v>
      </c>
      <c r="H1865" s="94">
        <v>205</v>
      </c>
      <c r="I1865" s="77" t="s">
        <v>807</v>
      </c>
      <c r="J1865" s="78">
        <v>5252.1</v>
      </c>
    </row>
    <row r="1866" spans="1:10" ht="15" thickTop="1" x14ac:dyDescent="0.2">
      <c r="A1866" s="95"/>
      <c r="B1866" s="95"/>
      <c r="C1866" s="95"/>
      <c r="D1866" s="95"/>
      <c r="E1866" s="95"/>
      <c r="F1866" s="95"/>
      <c r="G1866" s="95"/>
      <c r="H1866" s="95"/>
      <c r="I1866" s="95"/>
      <c r="J1866" s="95"/>
    </row>
    <row r="1867" spans="1:10" ht="15" x14ac:dyDescent="0.2">
      <c r="A1867" s="75" t="s">
        <v>549</v>
      </c>
      <c r="B1867" s="17" t="s">
        <v>11</v>
      </c>
      <c r="C1867" s="75" t="s">
        <v>12</v>
      </c>
      <c r="D1867" s="75" t="s">
        <v>2</v>
      </c>
      <c r="E1867" s="124" t="s">
        <v>779</v>
      </c>
      <c r="F1867" s="124"/>
      <c r="G1867" s="76" t="s">
        <v>3</v>
      </c>
      <c r="H1867" s="17" t="s">
        <v>4</v>
      </c>
      <c r="I1867" s="17" t="s">
        <v>13</v>
      </c>
      <c r="J1867" s="17" t="s">
        <v>17</v>
      </c>
    </row>
    <row r="1868" spans="1:10" ht="25.5" x14ac:dyDescent="0.2">
      <c r="A1868" s="19" t="s">
        <v>780</v>
      </c>
      <c r="B1868" s="20" t="s">
        <v>452</v>
      </c>
      <c r="C1868" s="19" t="s">
        <v>15</v>
      </c>
      <c r="D1868" s="19" t="s">
        <v>453</v>
      </c>
      <c r="E1868" s="125">
        <v>17.02</v>
      </c>
      <c r="F1868" s="125"/>
      <c r="G1868" s="21" t="s">
        <v>5</v>
      </c>
      <c r="H1868" s="86">
        <v>1</v>
      </c>
      <c r="I1868" s="82">
        <v>12.25</v>
      </c>
      <c r="J1868" s="82">
        <v>12.25</v>
      </c>
    </row>
    <row r="1869" spans="1:10" ht="38.25" x14ac:dyDescent="0.2">
      <c r="A1869" s="87" t="s">
        <v>781</v>
      </c>
      <c r="B1869" s="88" t="s">
        <v>832</v>
      </c>
      <c r="C1869" s="87" t="s">
        <v>15</v>
      </c>
      <c r="D1869" s="87" t="s">
        <v>833</v>
      </c>
      <c r="E1869" s="126" t="s">
        <v>784</v>
      </c>
      <c r="F1869" s="126"/>
      <c r="G1869" s="89" t="s">
        <v>785</v>
      </c>
      <c r="H1869" s="90">
        <v>0.25</v>
      </c>
      <c r="I1869" s="91">
        <v>22.61</v>
      </c>
      <c r="J1869" s="91">
        <v>5.65</v>
      </c>
    </row>
    <row r="1870" spans="1:10" ht="38.25" x14ac:dyDescent="0.2">
      <c r="A1870" s="87" t="s">
        <v>781</v>
      </c>
      <c r="B1870" s="88" t="s">
        <v>816</v>
      </c>
      <c r="C1870" s="87" t="s">
        <v>15</v>
      </c>
      <c r="D1870" s="87" t="s">
        <v>817</v>
      </c>
      <c r="E1870" s="126" t="s">
        <v>784</v>
      </c>
      <c r="F1870" s="126"/>
      <c r="G1870" s="89" t="s">
        <v>785</v>
      </c>
      <c r="H1870" s="90">
        <v>0.25</v>
      </c>
      <c r="I1870" s="91">
        <v>18.57</v>
      </c>
      <c r="J1870" s="91">
        <v>4.6399999999999997</v>
      </c>
    </row>
    <row r="1871" spans="1:10" ht="38.25" x14ac:dyDescent="0.2">
      <c r="A1871" s="87" t="s">
        <v>781</v>
      </c>
      <c r="B1871" s="88" t="s">
        <v>909</v>
      </c>
      <c r="C1871" s="87" t="s">
        <v>15</v>
      </c>
      <c r="D1871" s="87" t="s">
        <v>910</v>
      </c>
      <c r="E1871" s="126" t="s">
        <v>794</v>
      </c>
      <c r="F1871" s="126"/>
      <c r="G1871" s="89" t="s">
        <v>134</v>
      </c>
      <c r="H1871" s="90">
        <v>1.0052000000000001</v>
      </c>
      <c r="I1871" s="91">
        <v>0.88</v>
      </c>
      <c r="J1871" s="91">
        <v>0.88</v>
      </c>
    </row>
    <row r="1872" spans="1:10" ht="38.25" x14ac:dyDescent="0.2">
      <c r="A1872" s="87" t="s">
        <v>781</v>
      </c>
      <c r="B1872" s="88" t="s">
        <v>911</v>
      </c>
      <c r="C1872" s="87" t="s">
        <v>15</v>
      </c>
      <c r="D1872" s="87" t="s">
        <v>912</v>
      </c>
      <c r="E1872" s="126" t="s">
        <v>794</v>
      </c>
      <c r="F1872" s="126"/>
      <c r="G1872" s="89" t="s">
        <v>50</v>
      </c>
      <c r="H1872" s="90">
        <v>4.3E-3</v>
      </c>
      <c r="I1872" s="91">
        <v>167.7</v>
      </c>
      <c r="J1872" s="91">
        <v>0.72</v>
      </c>
    </row>
    <row r="1873" spans="1:10" ht="38.25" x14ac:dyDescent="0.2">
      <c r="A1873" s="87" t="s">
        <v>781</v>
      </c>
      <c r="B1873" s="88" t="s">
        <v>913</v>
      </c>
      <c r="C1873" s="87" t="s">
        <v>15</v>
      </c>
      <c r="D1873" s="87" t="s">
        <v>914</v>
      </c>
      <c r="E1873" s="126" t="s">
        <v>794</v>
      </c>
      <c r="F1873" s="126"/>
      <c r="G1873" s="89" t="s">
        <v>134</v>
      </c>
      <c r="H1873" s="90">
        <v>0.50639999999999996</v>
      </c>
      <c r="I1873" s="91">
        <v>0.6</v>
      </c>
      <c r="J1873" s="91">
        <v>0.3</v>
      </c>
    </row>
    <row r="1874" spans="1:10" ht="38.25" x14ac:dyDescent="0.2">
      <c r="A1874" s="87" t="s">
        <v>781</v>
      </c>
      <c r="B1874" s="88" t="s">
        <v>919</v>
      </c>
      <c r="C1874" s="87" t="s">
        <v>15</v>
      </c>
      <c r="D1874" s="87" t="s">
        <v>920</v>
      </c>
      <c r="E1874" s="126" t="s">
        <v>794</v>
      </c>
      <c r="F1874" s="126"/>
      <c r="G1874" s="89" t="s">
        <v>785</v>
      </c>
      <c r="H1874" s="90">
        <v>2.2000000000000001E-3</v>
      </c>
      <c r="I1874" s="91">
        <v>27.56</v>
      </c>
      <c r="J1874" s="91">
        <v>0.06</v>
      </c>
    </row>
    <row r="1875" spans="1:10" ht="38.25" x14ac:dyDescent="0.2">
      <c r="A1875" s="92"/>
      <c r="B1875" s="92"/>
      <c r="C1875" s="92"/>
      <c r="D1875" s="92"/>
      <c r="E1875" s="92" t="s">
        <v>801</v>
      </c>
      <c r="F1875" s="93">
        <v>10.29</v>
      </c>
      <c r="G1875" s="92" t="s">
        <v>802</v>
      </c>
      <c r="H1875" s="93">
        <v>0</v>
      </c>
      <c r="I1875" s="92" t="s">
        <v>803</v>
      </c>
      <c r="J1875" s="93">
        <v>10.29</v>
      </c>
    </row>
    <row r="1876" spans="1:10" ht="38.25" x14ac:dyDescent="0.2">
      <c r="A1876" s="92"/>
      <c r="B1876" s="92"/>
      <c r="C1876" s="92"/>
      <c r="D1876" s="92"/>
      <c r="E1876" s="92" t="s">
        <v>804</v>
      </c>
      <c r="F1876" s="93">
        <v>3.53</v>
      </c>
      <c r="G1876" s="92"/>
      <c r="H1876" s="127" t="s">
        <v>805</v>
      </c>
      <c r="I1876" s="127"/>
      <c r="J1876" s="93">
        <v>15.78</v>
      </c>
    </row>
    <row r="1877" spans="1:10" ht="15" thickBot="1" x14ac:dyDescent="0.25">
      <c r="A1877" s="77"/>
      <c r="B1877" s="77"/>
      <c r="C1877" s="77"/>
      <c r="D1877" s="77"/>
      <c r="E1877" s="77"/>
      <c r="F1877" s="77"/>
      <c r="G1877" s="77" t="s">
        <v>806</v>
      </c>
      <c r="H1877" s="94">
        <v>82</v>
      </c>
      <c r="I1877" s="77" t="s">
        <v>807</v>
      </c>
      <c r="J1877" s="78">
        <v>1293.96</v>
      </c>
    </row>
    <row r="1878" spans="1:10" ht="15" thickTop="1" x14ac:dyDescent="0.2">
      <c r="A1878" s="95"/>
      <c r="B1878" s="95"/>
      <c r="C1878" s="95"/>
      <c r="D1878" s="95"/>
      <c r="E1878" s="95"/>
      <c r="F1878" s="95"/>
      <c r="G1878" s="95"/>
      <c r="H1878" s="95"/>
      <c r="I1878" s="95"/>
      <c r="J1878" s="95"/>
    </row>
    <row r="1879" spans="1:10" ht="30" x14ac:dyDescent="0.2">
      <c r="A1879" s="75" t="s">
        <v>550</v>
      </c>
      <c r="B1879" s="17" t="s">
        <v>11</v>
      </c>
      <c r="C1879" s="75" t="s">
        <v>12</v>
      </c>
      <c r="D1879" s="75" t="s">
        <v>2</v>
      </c>
      <c r="E1879" s="124" t="s">
        <v>779</v>
      </c>
      <c r="F1879" s="124"/>
      <c r="G1879" s="76" t="s">
        <v>3</v>
      </c>
      <c r="H1879" s="17" t="s">
        <v>4</v>
      </c>
      <c r="I1879" s="17" t="s">
        <v>13</v>
      </c>
      <c r="J1879" s="17" t="s">
        <v>17</v>
      </c>
    </row>
    <row r="1880" spans="1:10" ht="25.5" x14ac:dyDescent="0.2">
      <c r="A1880" s="19" t="s">
        <v>780</v>
      </c>
      <c r="B1880" s="20" t="s">
        <v>458</v>
      </c>
      <c r="C1880" s="19" t="s">
        <v>15</v>
      </c>
      <c r="D1880" s="19" t="s">
        <v>459</v>
      </c>
      <c r="E1880" s="125">
        <v>17.02</v>
      </c>
      <c r="F1880" s="125"/>
      <c r="G1880" s="21" t="s">
        <v>5</v>
      </c>
      <c r="H1880" s="86">
        <v>1</v>
      </c>
      <c r="I1880" s="82">
        <v>21.79</v>
      </c>
      <c r="J1880" s="82">
        <v>21.79</v>
      </c>
    </row>
    <row r="1881" spans="1:10" ht="38.25" x14ac:dyDescent="0.2">
      <c r="A1881" s="87" t="s">
        <v>781</v>
      </c>
      <c r="B1881" s="88" t="s">
        <v>832</v>
      </c>
      <c r="C1881" s="87" t="s">
        <v>15</v>
      </c>
      <c r="D1881" s="87" t="s">
        <v>833</v>
      </c>
      <c r="E1881" s="126" t="s">
        <v>784</v>
      </c>
      <c r="F1881" s="126"/>
      <c r="G1881" s="89" t="s">
        <v>785</v>
      </c>
      <c r="H1881" s="90">
        <v>0.2</v>
      </c>
      <c r="I1881" s="91">
        <v>22.61</v>
      </c>
      <c r="J1881" s="91">
        <v>4.5199999999999996</v>
      </c>
    </row>
    <row r="1882" spans="1:10" ht="38.25" x14ac:dyDescent="0.2">
      <c r="A1882" s="87" t="s">
        <v>781</v>
      </c>
      <c r="B1882" s="88" t="s">
        <v>816</v>
      </c>
      <c r="C1882" s="87" t="s">
        <v>15</v>
      </c>
      <c r="D1882" s="87" t="s">
        <v>817</v>
      </c>
      <c r="E1882" s="126" t="s">
        <v>784</v>
      </c>
      <c r="F1882" s="126"/>
      <c r="G1882" s="89" t="s">
        <v>785</v>
      </c>
      <c r="H1882" s="90">
        <v>0.4</v>
      </c>
      <c r="I1882" s="91">
        <v>18.57</v>
      </c>
      <c r="J1882" s="91">
        <v>7.42</v>
      </c>
    </row>
    <row r="1883" spans="1:10" ht="38.25" x14ac:dyDescent="0.2">
      <c r="A1883" s="87" t="s">
        <v>781</v>
      </c>
      <c r="B1883" s="88" t="s">
        <v>909</v>
      </c>
      <c r="C1883" s="87" t="s">
        <v>15</v>
      </c>
      <c r="D1883" s="87" t="s">
        <v>910</v>
      </c>
      <c r="E1883" s="126" t="s">
        <v>794</v>
      </c>
      <c r="F1883" s="126"/>
      <c r="G1883" s="89" t="s">
        <v>134</v>
      </c>
      <c r="H1883" s="90">
        <v>4.54</v>
      </c>
      <c r="I1883" s="91">
        <v>0.88</v>
      </c>
      <c r="J1883" s="91">
        <v>3.99</v>
      </c>
    </row>
    <row r="1884" spans="1:10" ht="38.25" x14ac:dyDescent="0.2">
      <c r="A1884" s="87" t="s">
        <v>781</v>
      </c>
      <c r="B1884" s="88" t="s">
        <v>911</v>
      </c>
      <c r="C1884" s="87" t="s">
        <v>15</v>
      </c>
      <c r="D1884" s="87" t="s">
        <v>912</v>
      </c>
      <c r="E1884" s="126" t="s">
        <v>794</v>
      </c>
      <c r="F1884" s="126"/>
      <c r="G1884" s="89" t="s">
        <v>50</v>
      </c>
      <c r="H1884" s="90">
        <v>2.5499999999999998E-2</v>
      </c>
      <c r="I1884" s="91">
        <v>167.7</v>
      </c>
      <c r="J1884" s="91">
        <v>4.2699999999999996</v>
      </c>
    </row>
    <row r="1885" spans="1:10" ht="38.25" x14ac:dyDescent="0.2">
      <c r="A1885" s="87" t="s">
        <v>781</v>
      </c>
      <c r="B1885" s="88" t="s">
        <v>913</v>
      </c>
      <c r="C1885" s="87" t="s">
        <v>15</v>
      </c>
      <c r="D1885" s="87" t="s">
        <v>914</v>
      </c>
      <c r="E1885" s="126" t="s">
        <v>794</v>
      </c>
      <c r="F1885" s="126"/>
      <c r="G1885" s="89" t="s">
        <v>134</v>
      </c>
      <c r="H1885" s="90">
        <v>2.2799999999999998</v>
      </c>
      <c r="I1885" s="91">
        <v>0.6</v>
      </c>
      <c r="J1885" s="91">
        <v>1.36</v>
      </c>
    </row>
    <row r="1886" spans="1:10" ht="38.25" x14ac:dyDescent="0.2">
      <c r="A1886" s="87" t="s">
        <v>781</v>
      </c>
      <c r="B1886" s="88" t="s">
        <v>919</v>
      </c>
      <c r="C1886" s="87" t="s">
        <v>15</v>
      </c>
      <c r="D1886" s="87" t="s">
        <v>920</v>
      </c>
      <c r="E1886" s="126" t="s">
        <v>794</v>
      </c>
      <c r="F1886" s="126"/>
      <c r="G1886" s="89" t="s">
        <v>785</v>
      </c>
      <c r="H1886" s="90">
        <v>8.6E-3</v>
      </c>
      <c r="I1886" s="91">
        <v>27.56</v>
      </c>
      <c r="J1886" s="91">
        <v>0.23</v>
      </c>
    </row>
    <row r="1887" spans="1:10" ht="38.25" x14ac:dyDescent="0.2">
      <c r="A1887" s="92"/>
      <c r="B1887" s="92"/>
      <c r="C1887" s="92"/>
      <c r="D1887" s="92"/>
      <c r="E1887" s="92" t="s">
        <v>801</v>
      </c>
      <c r="F1887" s="93">
        <v>11.94</v>
      </c>
      <c r="G1887" s="92" t="s">
        <v>802</v>
      </c>
      <c r="H1887" s="93">
        <v>0</v>
      </c>
      <c r="I1887" s="92" t="s">
        <v>803</v>
      </c>
      <c r="J1887" s="93">
        <v>11.94</v>
      </c>
    </row>
    <row r="1888" spans="1:10" ht="38.25" x14ac:dyDescent="0.2">
      <c r="A1888" s="92"/>
      <c r="B1888" s="92"/>
      <c r="C1888" s="92"/>
      <c r="D1888" s="92"/>
      <c r="E1888" s="92" t="s">
        <v>804</v>
      </c>
      <c r="F1888" s="93">
        <v>6.27</v>
      </c>
      <c r="G1888" s="92"/>
      <c r="H1888" s="127" t="s">
        <v>805</v>
      </c>
      <c r="I1888" s="127"/>
      <c r="J1888" s="93">
        <v>28.06</v>
      </c>
    </row>
    <row r="1889" spans="1:10" ht="15" thickBot="1" x14ac:dyDescent="0.25">
      <c r="A1889" s="77"/>
      <c r="B1889" s="77"/>
      <c r="C1889" s="77"/>
      <c r="D1889" s="77"/>
      <c r="E1889" s="77"/>
      <c r="F1889" s="77"/>
      <c r="G1889" s="77" t="s">
        <v>806</v>
      </c>
      <c r="H1889" s="94">
        <v>82</v>
      </c>
      <c r="I1889" s="77" t="s">
        <v>807</v>
      </c>
      <c r="J1889" s="78">
        <v>2300.92</v>
      </c>
    </row>
    <row r="1890" spans="1:10" ht="15" thickTop="1" x14ac:dyDescent="0.2">
      <c r="A1890" s="95"/>
      <c r="B1890" s="95"/>
      <c r="C1890" s="95"/>
      <c r="D1890" s="95"/>
      <c r="E1890" s="95"/>
      <c r="F1890" s="95"/>
      <c r="G1890" s="95"/>
      <c r="H1890" s="95"/>
      <c r="I1890" s="95"/>
      <c r="J1890" s="95"/>
    </row>
    <row r="1891" spans="1:10" ht="30" x14ac:dyDescent="0.2">
      <c r="A1891" s="75" t="s">
        <v>551</v>
      </c>
      <c r="B1891" s="17" t="s">
        <v>11</v>
      </c>
      <c r="C1891" s="75" t="s">
        <v>12</v>
      </c>
      <c r="D1891" s="75" t="s">
        <v>2</v>
      </c>
      <c r="E1891" s="124" t="s">
        <v>779</v>
      </c>
      <c r="F1891" s="124"/>
      <c r="G1891" s="76" t="s">
        <v>3</v>
      </c>
      <c r="H1891" s="17" t="s">
        <v>4</v>
      </c>
      <c r="I1891" s="17" t="s">
        <v>13</v>
      </c>
      <c r="J1891" s="17" t="s">
        <v>17</v>
      </c>
    </row>
    <row r="1892" spans="1:10" ht="25.5" x14ac:dyDescent="0.2">
      <c r="A1892" s="19" t="s">
        <v>780</v>
      </c>
      <c r="B1892" s="20" t="s">
        <v>449</v>
      </c>
      <c r="C1892" s="19" t="s">
        <v>15</v>
      </c>
      <c r="D1892" s="19" t="s">
        <v>450</v>
      </c>
      <c r="E1892" s="125">
        <v>17.02</v>
      </c>
      <c r="F1892" s="125"/>
      <c r="G1892" s="21" t="s">
        <v>5</v>
      </c>
      <c r="H1892" s="86">
        <v>1</v>
      </c>
      <c r="I1892" s="82">
        <v>6.62</v>
      </c>
      <c r="J1892" s="82">
        <v>6.62</v>
      </c>
    </row>
    <row r="1893" spans="1:10" ht="38.25" x14ac:dyDescent="0.2">
      <c r="A1893" s="87" t="s">
        <v>781</v>
      </c>
      <c r="B1893" s="88" t="s">
        <v>832</v>
      </c>
      <c r="C1893" s="87" t="s">
        <v>15</v>
      </c>
      <c r="D1893" s="87" t="s">
        <v>833</v>
      </c>
      <c r="E1893" s="126" t="s">
        <v>784</v>
      </c>
      <c r="F1893" s="126"/>
      <c r="G1893" s="89" t="s">
        <v>785</v>
      </c>
      <c r="H1893" s="90">
        <v>0.1</v>
      </c>
      <c r="I1893" s="91">
        <v>22.61</v>
      </c>
      <c r="J1893" s="91">
        <v>2.2599999999999998</v>
      </c>
    </row>
    <row r="1894" spans="1:10" ht="38.25" x14ac:dyDescent="0.2">
      <c r="A1894" s="87" t="s">
        <v>781</v>
      </c>
      <c r="B1894" s="88" t="s">
        <v>816</v>
      </c>
      <c r="C1894" s="87" t="s">
        <v>15</v>
      </c>
      <c r="D1894" s="87" t="s">
        <v>817</v>
      </c>
      <c r="E1894" s="126" t="s">
        <v>784</v>
      </c>
      <c r="F1894" s="126"/>
      <c r="G1894" s="89" t="s">
        <v>785</v>
      </c>
      <c r="H1894" s="90">
        <v>0.1125</v>
      </c>
      <c r="I1894" s="91">
        <v>18.57</v>
      </c>
      <c r="J1894" s="91">
        <v>2.08</v>
      </c>
    </row>
    <row r="1895" spans="1:10" ht="38.25" x14ac:dyDescent="0.2">
      <c r="A1895" s="87" t="s">
        <v>781</v>
      </c>
      <c r="B1895" s="88" t="s">
        <v>911</v>
      </c>
      <c r="C1895" s="87" t="s">
        <v>15</v>
      </c>
      <c r="D1895" s="87" t="s">
        <v>912</v>
      </c>
      <c r="E1895" s="126" t="s">
        <v>794</v>
      </c>
      <c r="F1895" s="126"/>
      <c r="G1895" s="89" t="s">
        <v>50</v>
      </c>
      <c r="H1895" s="90">
        <v>5.1999999999999998E-3</v>
      </c>
      <c r="I1895" s="91">
        <v>167.7</v>
      </c>
      <c r="J1895" s="91">
        <v>0.87</v>
      </c>
    </row>
    <row r="1896" spans="1:10" ht="38.25" x14ac:dyDescent="0.2">
      <c r="A1896" s="87" t="s">
        <v>781</v>
      </c>
      <c r="B1896" s="88" t="s">
        <v>913</v>
      </c>
      <c r="C1896" s="87" t="s">
        <v>15</v>
      </c>
      <c r="D1896" s="87" t="s">
        <v>914</v>
      </c>
      <c r="E1896" s="126" t="s">
        <v>794</v>
      </c>
      <c r="F1896" s="126"/>
      <c r="G1896" s="89" t="s">
        <v>134</v>
      </c>
      <c r="H1896" s="90">
        <v>2.2650000000000001</v>
      </c>
      <c r="I1896" s="91">
        <v>0.6</v>
      </c>
      <c r="J1896" s="91">
        <v>1.35</v>
      </c>
    </row>
    <row r="1897" spans="1:10" ht="38.25" x14ac:dyDescent="0.2">
      <c r="A1897" s="87" t="s">
        <v>781</v>
      </c>
      <c r="B1897" s="88" t="s">
        <v>919</v>
      </c>
      <c r="C1897" s="87" t="s">
        <v>15</v>
      </c>
      <c r="D1897" s="87" t="s">
        <v>920</v>
      </c>
      <c r="E1897" s="126" t="s">
        <v>794</v>
      </c>
      <c r="F1897" s="126"/>
      <c r="G1897" s="89" t="s">
        <v>785</v>
      </c>
      <c r="H1897" s="90">
        <v>2.2000000000000001E-3</v>
      </c>
      <c r="I1897" s="91">
        <v>27.56</v>
      </c>
      <c r="J1897" s="91">
        <v>0.06</v>
      </c>
    </row>
    <row r="1898" spans="1:10" ht="38.25" x14ac:dyDescent="0.2">
      <c r="A1898" s="92"/>
      <c r="B1898" s="92"/>
      <c r="C1898" s="92"/>
      <c r="D1898" s="92"/>
      <c r="E1898" s="92" t="s">
        <v>801</v>
      </c>
      <c r="F1898" s="93">
        <v>4.34</v>
      </c>
      <c r="G1898" s="92" t="s">
        <v>802</v>
      </c>
      <c r="H1898" s="93">
        <v>0</v>
      </c>
      <c r="I1898" s="92" t="s">
        <v>803</v>
      </c>
      <c r="J1898" s="93">
        <v>4.34</v>
      </c>
    </row>
    <row r="1899" spans="1:10" ht="38.25" x14ac:dyDescent="0.2">
      <c r="A1899" s="92"/>
      <c r="B1899" s="92"/>
      <c r="C1899" s="92"/>
      <c r="D1899" s="92"/>
      <c r="E1899" s="92" t="s">
        <v>804</v>
      </c>
      <c r="F1899" s="93">
        <v>1.9</v>
      </c>
      <c r="G1899" s="92"/>
      <c r="H1899" s="127" t="s">
        <v>805</v>
      </c>
      <c r="I1899" s="127"/>
      <c r="J1899" s="93">
        <v>8.52</v>
      </c>
    </row>
    <row r="1900" spans="1:10" ht="15" thickBot="1" x14ac:dyDescent="0.25">
      <c r="A1900" s="77"/>
      <c r="B1900" s="77"/>
      <c r="C1900" s="77"/>
      <c r="D1900" s="77"/>
      <c r="E1900" s="77"/>
      <c r="F1900" s="77"/>
      <c r="G1900" s="77" t="s">
        <v>806</v>
      </c>
      <c r="H1900" s="94">
        <v>82</v>
      </c>
      <c r="I1900" s="77" t="s">
        <v>807</v>
      </c>
      <c r="J1900" s="78">
        <v>698.64</v>
      </c>
    </row>
    <row r="1901" spans="1:10" ht="15" thickTop="1" x14ac:dyDescent="0.2">
      <c r="A1901" s="95"/>
      <c r="B1901" s="95"/>
      <c r="C1901" s="95"/>
      <c r="D1901" s="95"/>
      <c r="E1901" s="95"/>
      <c r="F1901" s="95"/>
      <c r="G1901" s="95"/>
      <c r="H1901" s="95"/>
      <c r="I1901" s="95"/>
      <c r="J1901" s="95"/>
    </row>
    <row r="1902" spans="1:10" ht="30" x14ac:dyDescent="0.2">
      <c r="A1902" s="75" t="s">
        <v>552</v>
      </c>
      <c r="B1902" s="17" t="s">
        <v>11</v>
      </c>
      <c r="C1902" s="75" t="s">
        <v>12</v>
      </c>
      <c r="D1902" s="75" t="s">
        <v>2</v>
      </c>
      <c r="E1902" s="124" t="s">
        <v>779</v>
      </c>
      <c r="F1902" s="124"/>
      <c r="G1902" s="76" t="s">
        <v>3</v>
      </c>
      <c r="H1902" s="17" t="s">
        <v>4</v>
      </c>
      <c r="I1902" s="17" t="s">
        <v>13</v>
      </c>
      <c r="J1902" s="17" t="s">
        <v>17</v>
      </c>
    </row>
    <row r="1903" spans="1:10" ht="25.5" x14ac:dyDescent="0.2">
      <c r="A1903" s="19" t="s">
        <v>780</v>
      </c>
      <c r="B1903" s="20" t="s">
        <v>522</v>
      </c>
      <c r="C1903" s="19" t="s">
        <v>15</v>
      </c>
      <c r="D1903" s="19" t="s">
        <v>523</v>
      </c>
      <c r="E1903" s="125">
        <v>33.1</v>
      </c>
      <c r="F1903" s="125"/>
      <c r="G1903" s="21" t="s">
        <v>5</v>
      </c>
      <c r="H1903" s="86">
        <v>1</v>
      </c>
      <c r="I1903" s="82">
        <v>31.05</v>
      </c>
      <c r="J1903" s="82">
        <v>31.05</v>
      </c>
    </row>
    <row r="1904" spans="1:10" ht="38.25" x14ac:dyDescent="0.2">
      <c r="A1904" s="87" t="s">
        <v>781</v>
      </c>
      <c r="B1904" s="88" t="s">
        <v>786</v>
      </c>
      <c r="C1904" s="87" t="s">
        <v>15</v>
      </c>
      <c r="D1904" s="87" t="s">
        <v>787</v>
      </c>
      <c r="E1904" s="126" t="s">
        <v>784</v>
      </c>
      <c r="F1904" s="126"/>
      <c r="G1904" s="89" t="s">
        <v>785</v>
      </c>
      <c r="H1904" s="90">
        <v>0.45</v>
      </c>
      <c r="I1904" s="91">
        <v>27.08</v>
      </c>
      <c r="J1904" s="91">
        <v>12.18</v>
      </c>
    </row>
    <row r="1905" spans="1:10" ht="38.25" x14ac:dyDescent="0.2">
      <c r="A1905" s="87" t="s">
        <v>781</v>
      </c>
      <c r="B1905" s="88" t="s">
        <v>788</v>
      </c>
      <c r="C1905" s="87" t="s">
        <v>15</v>
      </c>
      <c r="D1905" s="87" t="s">
        <v>789</v>
      </c>
      <c r="E1905" s="126" t="s">
        <v>784</v>
      </c>
      <c r="F1905" s="126"/>
      <c r="G1905" s="89" t="s">
        <v>785</v>
      </c>
      <c r="H1905" s="90">
        <v>0.4</v>
      </c>
      <c r="I1905" s="91">
        <v>18.57</v>
      </c>
      <c r="J1905" s="91">
        <v>7.42</v>
      </c>
    </row>
    <row r="1906" spans="1:10" ht="38.25" x14ac:dyDescent="0.2">
      <c r="A1906" s="87" t="s">
        <v>781</v>
      </c>
      <c r="B1906" s="88" t="s">
        <v>1328</v>
      </c>
      <c r="C1906" s="87" t="s">
        <v>15</v>
      </c>
      <c r="D1906" s="87" t="s">
        <v>1329</v>
      </c>
      <c r="E1906" s="126" t="s">
        <v>794</v>
      </c>
      <c r="F1906" s="126"/>
      <c r="G1906" s="89" t="s">
        <v>720</v>
      </c>
      <c r="H1906" s="90">
        <v>0.24</v>
      </c>
      <c r="I1906" s="91">
        <v>13.87</v>
      </c>
      <c r="J1906" s="91">
        <v>3.32</v>
      </c>
    </row>
    <row r="1907" spans="1:10" ht="38.25" x14ac:dyDescent="0.2">
      <c r="A1907" s="87" t="s">
        <v>781</v>
      </c>
      <c r="B1907" s="88" t="s">
        <v>1330</v>
      </c>
      <c r="C1907" s="87" t="s">
        <v>15</v>
      </c>
      <c r="D1907" s="87" t="s">
        <v>1331</v>
      </c>
      <c r="E1907" s="126" t="s">
        <v>794</v>
      </c>
      <c r="F1907" s="126"/>
      <c r="G1907" s="89" t="s">
        <v>720</v>
      </c>
      <c r="H1907" s="90">
        <v>0.25</v>
      </c>
      <c r="I1907" s="91">
        <v>31.7</v>
      </c>
      <c r="J1907" s="91">
        <v>7.92</v>
      </c>
    </row>
    <row r="1908" spans="1:10" ht="38.25" x14ac:dyDescent="0.2">
      <c r="A1908" s="87" t="s">
        <v>781</v>
      </c>
      <c r="B1908" s="88" t="s">
        <v>1332</v>
      </c>
      <c r="C1908" s="87" t="s">
        <v>15</v>
      </c>
      <c r="D1908" s="87" t="s">
        <v>1333</v>
      </c>
      <c r="E1908" s="126" t="s">
        <v>794</v>
      </c>
      <c r="F1908" s="126"/>
      <c r="G1908" s="89" t="s">
        <v>32</v>
      </c>
      <c r="H1908" s="90">
        <v>0.3</v>
      </c>
      <c r="I1908" s="91">
        <v>0.72</v>
      </c>
      <c r="J1908" s="91">
        <v>0.21</v>
      </c>
    </row>
    <row r="1909" spans="1:10" ht="38.25" x14ac:dyDescent="0.2">
      <c r="A1909" s="92"/>
      <c r="B1909" s="92"/>
      <c r="C1909" s="92"/>
      <c r="D1909" s="92"/>
      <c r="E1909" s="92" t="s">
        <v>801</v>
      </c>
      <c r="F1909" s="93">
        <v>19.600000000000001</v>
      </c>
      <c r="G1909" s="92" t="s">
        <v>802</v>
      </c>
      <c r="H1909" s="93">
        <v>0</v>
      </c>
      <c r="I1909" s="92" t="s">
        <v>803</v>
      </c>
      <c r="J1909" s="93">
        <v>19.600000000000001</v>
      </c>
    </row>
    <row r="1910" spans="1:10" ht="38.25" x14ac:dyDescent="0.2">
      <c r="A1910" s="92"/>
      <c r="B1910" s="92"/>
      <c r="C1910" s="92"/>
      <c r="D1910" s="92"/>
      <c r="E1910" s="92" t="s">
        <v>804</v>
      </c>
      <c r="F1910" s="93">
        <v>8.94</v>
      </c>
      <c r="G1910" s="92"/>
      <c r="H1910" s="127" t="s">
        <v>805</v>
      </c>
      <c r="I1910" s="127"/>
      <c r="J1910" s="93">
        <v>39.99</v>
      </c>
    </row>
    <row r="1911" spans="1:10" ht="15" thickBot="1" x14ac:dyDescent="0.25">
      <c r="A1911" s="77"/>
      <c r="B1911" s="77"/>
      <c r="C1911" s="77"/>
      <c r="D1911" s="77"/>
      <c r="E1911" s="77"/>
      <c r="F1911" s="77"/>
      <c r="G1911" s="77" t="s">
        <v>806</v>
      </c>
      <c r="H1911" s="94">
        <v>82</v>
      </c>
      <c r="I1911" s="77" t="s">
        <v>807</v>
      </c>
      <c r="J1911" s="78">
        <v>3279.18</v>
      </c>
    </row>
    <row r="1912" spans="1:10" ht="15" thickTop="1" x14ac:dyDescent="0.2">
      <c r="A1912" s="95"/>
      <c r="B1912" s="95"/>
      <c r="C1912" s="95"/>
      <c r="D1912" s="95"/>
      <c r="E1912" s="95"/>
      <c r="F1912" s="95"/>
      <c r="G1912" s="95"/>
      <c r="H1912" s="95"/>
      <c r="I1912" s="95"/>
      <c r="J1912" s="95"/>
    </row>
    <row r="1913" spans="1:10" x14ac:dyDescent="0.2">
      <c r="A1913" s="18" t="s">
        <v>553</v>
      </c>
      <c r="B1913" s="18"/>
      <c r="C1913" s="18"/>
      <c r="D1913" s="18" t="s">
        <v>554</v>
      </c>
      <c r="E1913" s="18"/>
      <c r="F1913" s="122"/>
      <c r="G1913" s="122"/>
      <c r="H1913" s="39"/>
      <c r="I1913" s="18"/>
      <c r="J1913" s="80">
        <v>2071.5300000000002</v>
      </c>
    </row>
    <row r="1914" spans="1:10" ht="15" x14ac:dyDescent="0.2">
      <c r="A1914" s="75" t="s">
        <v>555</v>
      </c>
      <c r="B1914" s="17" t="s">
        <v>11</v>
      </c>
      <c r="C1914" s="75" t="s">
        <v>12</v>
      </c>
      <c r="D1914" s="75" t="s">
        <v>2</v>
      </c>
      <c r="E1914" s="124" t="s">
        <v>779</v>
      </c>
      <c r="F1914" s="124"/>
      <c r="G1914" s="76" t="s">
        <v>3</v>
      </c>
      <c r="H1914" s="17" t="s">
        <v>4</v>
      </c>
      <c r="I1914" s="17" t="s">
        <v>13</v>
      </c>
      <c r="J1914" s="17" t="s">
        <v>17</v>
      </c>
    </row>
    <row r="1915" spans="1:10" ht="25.5" x14ac:dyDescent="0.2">
      <c r="A1915" s="19" t="s">
        <v>780</v>
      </c>
      <c r="B1915" s="20" t="s">
        <v>145</v>
      </c>
      <c r="C1915" s="19" t="s">
        <v>15</v>
      </c>
      <c r="D1915" s="19" t="s">
        <v>146</v>
      </c>
      <c r="E1915" s="125">
        <v>6.11</v>
      </c>
      <c r="F1915" s="125"/>
      <c r="G1915" s="21" t="s">
        <v>50</v>
      </c>
      <c r="H1915" s="86">
        <v>1</v>
      </c>
      <c r="I1915" s="82">
        <v>7.98</v>
      </c>
      <c r="J1915" s="82">
        <v>7.98</v>
      </c>
    </row>
    <row r="1916" spans="1:10" ht="38.25" x14ac:dyDescent="0.2">
      <c r="A1916" s="87" t="s">
        <v>781</v>
      </c>
      <c r="B1916" s="88" t="s">
        <v>816</v>
      </c>
      <c r="C1916" s="87" t="s">
        <v>15</v>
      </c>
      <c r="D1916" s="87" t="s">
        <v>817</v>
      </c>
      <c r="E1916" s="126" t="s">
        <v>784</v>
      </c>
      <c r="F1916" s="126"/>
      <c r="G1916" s="89" t="s">
        <v>785</v>
      </c>
      <c r="H1916" s="90">
        <v>0.43</v>
      </c>
      <c r="I1916" s="91">
        <v>18.57</v>
      </c>
      <c r="J1916" s="91">
        <v>7.98</v>
      </c>
    </row>
    <row r="1917" spans="1:10" ht="38.25" x14ac:dyDescent="0.2">
      <c r="A1917" s="92"/>
      <c r="B1917" s="92"/>
      <c r="C1917" s="92"/>
      <c r="D1917" s="92"/>
      <c r="E1917" s="92" t="s">
        <v>801</v>
      </c>
      <c r="F1917" s="93">
        <v>7.98</v>
      </c>
      <c r="G1917" s="92" t="s">
        <v>802</v>
      </c>
      <c r="H1917" s="93">
        <v>0</v>
      </c>
      <c r="I1917" s="92" t="s">
        <v>803</v>
      </c>
      <c r="J1917" s="93">
        <v>7.98</v>
      </c>
    </row>
    <row r="1918" spans="1:10" ht="38.25" x14ac:dyDescent="0.2">
      <c r="A1918" s="92"/>
      <c r="B1918" s="92"/>
      <c r="C1918" s="92"/>
      <c r="D1918" s="92"/>
      <c r="E1918" s="92" t="s">
        <v>804</v>
      </c>
      <c r="F1918" s="93">
        <v>2.29</v>
      </c>
      <c r="G1918" s="92"/>
      <c r="H1918" s="127" t="s">
        <v>805</v>
      </c>
      <c r="I1918" s="127"/>
      <c r="J1918" s="93">
        <v>10.27</v>
      </c>
    </row>
    <row r="1919" spans="1:10" ht="15" thickBot="1" x14ac:dyDescent="0.25">
      <c r="A1919" s="77"/>
      <c r="B1919" s="77"/>
      <c r="C1919" s="77"/>
      <c r="D1919" s="77"/>
      <c r="E1919" s="77"/>
      <c r="F1919" s="77"/>
      <c r="G1919" s="77" t="s">
        <v>806</v>
      </c>
      <c r="H1919" s="94">
        <v>28.93</v>
      </c>
      <c r="I1919" s="77" t="s">
        <v>807</v>
      </c>
      <c r="J1919" s="78">
        <v>297.11</v>
      </c>
    </row>
    <row r="1920" spans="1:10" ht="15" thickTop="1" x14ac:dyDescent="0.2">
      <c r="A1920" s="95"/>
      <c r="B1920" s="95"/>
      <c r="C1920" s="95"/>
      <c r="D1920" s="95"/>
      <c r="E1920" s="95"/>
      <c r="F1920" s="95"/>
      <c r="G1920" s="95"/>
      <c r="H1920" s="95"/>
      <c r="I1920" s="95"/>
      <c r="J1920" s="95"/>
    </row>
    <row r="1921" spans="1:10" ht="15" x14ac:dyDescent="0.2">
      <c r="A1921" s="75" t="s">
        <v>556</v>
      </c>
      <c r="B1921" s="17" t="s">
        <v>11</v>
      </c>
      <c r="C1921" s="75" t="s">
        <v>12</v>
      </c>
      <c r="D1921" s="75" t="s">
        <v>2</v>
      </c>
      <c r="E1921" s="124" t="s">
        <v>779</v>
      </c>
      <c r="F1921" s="124"/>
      <c r="G1921" s="76" t="s">
        <v>3</v>
      </c>
      <c r="H1921" s="17" t="s">
        <v>4</v>
      </c>
      <c r="I1921" s="17" t="s">
        <v>13</v>
      </c>
      <c r="J1921" s="17" t="s">
        <v>17</v>
      </c>
    </row>
    <row r="1922" spans="1:10" ht="25.5" x14ac:dyDescent="0.2">
      <c r="A1922" s="19" t="s">
        <v>780</v>
      </c>
      <c r="B1922" s="20" t="s">
        <v>148</v>
      </c>
      <c r="C1922" s="19" t="s">
        <v>15</v>
      </c>
      <c r="D1922" s="19" t="s">
        <v>149</v>
      </c>
      <c r="E1922" s="125">
        <v>5.07</v>
      </c>
      <c r="F1922" s="125"/>
      <c r="G1922" s="21" t="s">
        <v>50</v>
      </c>
      <c r="H1922" s="86">
        <v>1</v>
      </c>
      <c r="I1922" s="82">
        <v>108.81</v>
      </c>
      <c r="J1922" s="82">
        <v>108.81</v>
      </c>
    </row>
    <row r="1923" spans="1:10" ht="38.25" x14ac:dyDescent="0.2">
      <c r="A1923" s="87" t="s">
        <v>781</v>
      </c>
      <c r="B1923" s="88" t="s">
        <v>905</v>
      </c>
      <c r="C1923" s="87" t="s">
        <v>15</v>
      </c>
      <c r="D1923" s="87" t="s">
        <v>906</v>
      </c>
      <c r="E1923" s="126" t="s">
        <v>794</v>
      </c>
      <c r="F1923" s="126"/>
      <c r="G1923" s="89" t="s">
        <v>50</v>
      </c>
      <c r="H1923" s="90">
        <v>1</v>
      </c>
      <c r="I1923" s="91">
        <v>97.67</v>
      </c>
      <c r="J1923" s="91">
        <v>97.67</v>
      </c>
    </row>
    <row r="1924" spans="1:10" ht="38.25" x14ac:dyDescent="0.2">
      <c r="A1924" s="87" t="s">
        <v>781</v>
      </c>
      <c r="B1924" s="88" t="s">
        <v>816</v>
      </c>
      <c r="C1924" s="87" t="s">
        <v>15</v>
      </c>
      <c r="D1924" s="87" t="s">
        <v>817</v>
      </c>
      <c r="E1924" s="126" t="s">
        <v>784</v>
      </c>
      <c r="F1924" s="126"/>
      <c r="G1924" s="89" t="s">
        <v>785</v>
      </c>
      <c r="H1924" s="90">
        <v>0.6</v>
      </c>
      <c r="I1924" s="91">
        <v>18.57</v>
      </c>
      <c r="J1924" s="91">
        <v>11.14</v>
      </c>
    </row>
    <row r="1925" spans="1:10" ht="38.25" x14ac:dyDescent="0.2">
      <c r="A1925" s="92"/>
      <c r="B1925" s="92"/>
      <c r="C1925" s="92"/>
      <c r="D1925" s="92"/>
      <c r="E1925" s="92" t="s">
        <v>801</v>
      </c>
      <c r="F1925" s="93">
        <v>11.14</v>
      </c>
      <c r="G1925" s="92" t="s">
        <v>802</v>
      </c>
      <c r="H1925" s="93">
        <v>0</v>
      </c>
      <c r="I1925" s="92" t="s">
        <v>803</v>
      </c>
      <c r="J1925" s="93">
        <v>11.14</v>
      </c>
    </row>
    <row r="1926" spans="1:10" ht="38.25" x14ac:dyDescent="0.2">
      <c r="A1926" s="92"/>
      <c r="B1926" s="92"/>
      <c r="C1926" s="92"/>
      <c r="D1926" s="92"/>
      <c r="E1926" s="92" t="s">
        <v>804</v>
      </c>
      <c r="F1926" s="93">
        <v>31.35</v>
      </c>
      <c r="G1926" s="92"/>
      <c r="H1926" s="127" t="s">
        <v>805</v>
      </c>
      <c r="I1926" s="127"/>
      <c r="J1926" s="93">
        <v>140.16</v>
      </c>
    </row>
    <row r="1927" spans="1:10" ht="15" thickBot="1" x14ac:dyDescent="0.25">
      <c r="A1927" s="77"/>
      <c r="B1927" s="77"/>
      <c r="C1927" s="77"/>
      <c r="D1927" s="77"/>
      <c r="E1927" s="77"/>
      <c r="F1927" s="77"/>
      <c r="G1927" s="77" t="s">
        <v>806</v>
      </c>
      <c r="H1927" s="94">
        <v>12.66</v>
      </c>
      <c r="I1927" s="77" t="s">
        <v>807</v>
      </c>
      <c r="J1927" s="78">
        <v>1774.42</v>
      </c>
    </row>
    <row r="1928" spans="1:10" ht="15" thickTop="1" x14ac:dyDescent="0.2">
      <c r="A1928" s="95"/>
      <c r="B1928" s="95"/>
      <c r="C1928" s="95"/>
      <c r="D1928" s="95"/>
      <c r="E1928" s="95"/>
      <c r="F1928" s="95"/>
      <c r="G1928" s="95"/>
      <c r="H1928" s="95"/>
      <c r="I1928" s="95"/>
      <c r="J1928" s="95"/>
    </row>
    <row r="1929" spans="1:10" x14ac:dyDescent="0.2">
      <c r="A1929" s="18" t="s">
        <v>557</v>
      </c>
      <c r="B1929" s="18"/>
      <c r="C1929" s="18"/>
      <c r="D1929" s="18" t="s">
        <v>1356</v>
      </c>
      <c r="E1929" s="18"/>
      <c r="F1929" s="122"/>
      <c r="G1929" s="122"/>
      <c r="H1929" s="39"/>
      <c r="I1929" s="18"/>
      <c r="J1929" s="80">
        <v>40082.11</v>
      </c>
    </row>
    <row r="1930" spans="1:10" x14ac:dyDescent="0.2">
      <c r="A1930" s="18" t="s">
        <v>558</v>
      </c>
      <c r="B1930" s="18"/>
      <c r="C1930" s="18"/>
      <c r="D1930" s="18" t="s">
        <v>1357</v>
      </c>
      <c r="E1930" s="18"/>
      <c r="F1930" s="122"/>
      <c r="G1930" s="122"/>
      <c r="H1930" s="39"/>
      <c r="I1930" s="18"/>
      <c r="J1930" s="80">
        <v>193.58</v>
      </c>
    </row>
    <row r="1931" spans="1:10" ht="15" x14ac:dyDescent="0.2">
      <c r="A1931" s="75" t="s">
        <v>560</v>
      </c>
      <c r="B1931" s="17" t="s">
        <v>11</v>
      </c>
      <c r="C1931" s="75" t="s">
        <v>12</v>
      </c>
      <c r="D1931" s="75" t="s">
        <v>2</v>
      </c>
      <c r="E1931" s="124" t="s">
        <v>779</v>
      </c>
      <c r="F1931" s="124"/>
      <c r="G1931" s="76" t="s">
        <v>3</v>
      </c>
      <c r="H1931" s="17" t="s">
        <v>4</v>
      </c>
      <c r="I1931" s="17" t="s">
        <v>13</v>
      </c>
      <c r="J1931" s="17" t="s">
        <v>17</v>
      </c>
    </row>
    <row r="1932" spans="1:10" ht="25.5" x14ac:dyDescent="0.2">
      <c r="A1932" s="19" t="s">
        <v>780</v>
      </c>
      <c r="B1932" s="20" t="s">
        <v>1358</v>
      </c>
      <c r="C1932" s="19" t="s">
        <v>15</v>
      </c>
      <c r="D1932" s="19" t="s">
        <v>1359</v>
      </c>
      <c r="E1932" s="125">
        <v>3.01</v>
      </c>
      <c r="F1932" s="125"/>
      <c r="G1932" s="21" t="s">
        <v>50</v>
      </c>
      <c r="H1932" s="86">
        <v>1</v>
      </c>
      <c r="I1932" s="82">
        <v>547.48</v>
      </c>
      <c r="J1932" s="82">
        <v>547.48</v>
      </c>
    </row>
    <row r="1933" spans="1:10" ht="38.25" x14ac:dyDescent="0.2">
      <c r="A1933" s="87" t="s">
        <v>781</v>
      </c>
      <c r="B1933" s="88" t="s">
        <v>816</v>
      </c>
      <c r="C1933" s="87" t="s">
        <v>15</v>
      </c>
      <c r="D1933" s="87" t="s">
        <v>817</v>
      </c>
      <c r="E1933" s="126" t="s">
        <v>784</v>
      </c>
      <c r="F1933" s="126"/>
      <c r="G1933" s="89" t="s">
        <v>785</v>
      </c>
      <c r="H1933" s="90">
        <v>6</v>
      </c>
      <c r="I1933" s="91">
        <v>18.57</v>
      </c>
      <c r="J1933" s="91">
        <v>111.42</v>
      </c>
    </row>
    <row r="1934" spans="1:10" ht="38.25" x14ac:dyDescent="0.2">
      <c r="A1934" s="87" t="s">
        <v>781</v>
      </c>
      <c r="B1934" s="88" t="s">
        <v>834</v>
      </c>
      <c r="C1934" s="87" t="s">
        <v>15</v>
      </c>
      <c r="D1934" s="87" t="s">
        <v>835</v>
      </c>
      <c r="E1934" s="126" t="s">
        <v>794</v>
      </c>
      <c r="F1934" s="126"/>
      <c r="G1934" s="89" t="s">
        <v>785</v>
      </c>
      <c r="H1934" s="90">
        <v>4</v>
      </c>
      <c r="I1934" s="91">
        <v>34.729999999999997</v>
      </c>
      <c r="J1934" s="91">
        <v>138.91999999999999</v>
      </c>
    </row>
    <row r="1935" spans="1:10" ht="38.25" x14ac:dyDescent="0.2">
      <c r="A1935" s="87" t="s">
        <v>781</v>
      </c>
      <c r="B1935" s="88" t="s">
        <v>836</v>
      </c>
      <c r="C1935" s="87" t="s">
        <v>15</v>
      </c>
      <c r="D1935" s="87" t="s">
        <v>837</v>
      </c>
      <c r="E1935" s="126" t="s">
        <v>794</v>
      </c>
      <c r="F1935" s="126"/>
      <c r="G1935" s="89" t="s">
        <v>785</v>
      </c>
      <c r="H1935" s="90">
        <v>2</v>
      </c>
      <c r="I1935" s="91">
        <v>148.57</v>
      </c>
      <c r="J1935" s="91">
        <v>297.14</v>
      </c>
    </row>
    <row r="1936" spans="1:10" ht="38.25" x14ac:dyDescent="0.2">
      <c r="A1936" s="92"/>
      <c r="B1936" s="92"/>
      <c r="C1936" s="92"/>
      <c r="D1936" s="92"/>
      <c r="E1936" s="92" t="s">
        <v>801</v>
      </c>
      <c r="F1936" s="93">
        <v>111.42</v>
      </c>
      <c r="G1936" s="92" t="s">
        <v>802</v>
      </c>
      <c r="H1936" s="93">
        <v>0</v>
      </c>
      <c r="I1936" s="92" t="s">
        <v>803</v>
      </c>
      <c r="J1936" s="93">
        <v>111.42</v>
      </c>
    </row>
    <row r="1937" spans="1:10" ht="38.25" x14ac:dyDescent="0.2">
      <c r="A1937" s="92"/>
      <c r="B1937" s="92"/>
      <c r="C1937" s="92"/>
      <c r="D1937" s="92"/>
      <c r="E1937" s="92" t="s">
        <v>804</v>
      </c>
      <c r="F1937" s="93">
        <v>157.78</v>
      </c>
      <c r="G1937" s="92"/>
      <c r="H1937" s="127" t="s">
        <v>805</v>
      </c>
      <c r="I1937" s="127"/>
      <c r="J1937" s="93">
        <v>705.26</v>
      </c>
    </row>
    <row r="1938" spans="1:10" ht="15" thickBot="1" x14ac:dyDescent="0.25">
      <c r="A1938" s="77"/>
      <c r="B1938" s="77"/>
      <c r="C1938" s="77"/>
      <c r="D1938" s="77"/>
      <c r="E1938" s="77"/>
      <c r="F1938" s="77"/>
      <c r="G1938" s="77" t="s">
        <v>806</v>
      </c>
      <c r="H1938" s="94">
        <v>0.26</v>
      </c>
      <c r="I1938" s="77" t="s">
        <v>807</v>
      </c>
      <c r="J1938" s="78">
        <v>183.36</v>
      </c>
    </row>
    <row r="1939" spans="1:10" ht="15" thickTop="1" x14ac:dyDescent="0.2">
      <c r="A1939" s="95"/>
      <c r="B1939" s="95"/>
      <c r="C1939" s="95"/>
      <c r="D1939" s="95"/>
      <c r="E1939" s="95"/>
      <c r="F1939" s="95"/>
      <c r="G1939" s="95"/>
      <c r="H1939" s="95"/>
      <c r="I1939" s="95"/>
      <c r="J1939" s="95"/>
    </row>
    <row r="1940" spans="1:10" ht="15" x14ac:dyDescent="0.2">
      <c r="A1940" s="75" t="s">
        <v>1360</v>
      </c>
      <c r="B1940" s="17" t="s">
        <v>11</v>
      </c>
      <c r="C1940" s="75" t="s">
        <v>12</v>
      </c>
      <c r="D1940" s="75" t="s">
        <v>2</v>
      </c>
      <c r="E1940" s="124" t="s">
        <v>779</v>
      </c>
      <c r="F1940" s="124"/>
      <c r="G1940" s="76" t="s">
        <v>3</v>
      </c>
      <c r="H1940" s="17" t="s">
        <v>4</v>
      </c>
      <c r="I1940" s="17" t="s">
        <v>13</v>
      </c>
      <c r="J1940" s="17" t="s">
        <v>17</v>
      </c>
    </row>
    <row r="1941" spans="1:10" ht="25.5" x14ac:dyDescent="0.2">
      <c r="A1941" s="19" t="s">
        <v>780</v>
      </c>
      <c r="B1941" s="20" t="s">
        <v>1361</v>
      </c>
      <c r="C1941" s="19" t="s">
        <v>15</v>
      </c>
      <c r="D1941" s="19" t="s">
        <v>1362</v>
      </c>
      <c r="E1941" s="125">
        <v>1.23</v>
      </c>
      <c r="F1941" s="125"/>
      <c r="G1941" s="21" t="s">
        <v>78</v>
      </c>
      <c r="H1941" s="86">
        <v>1</v>
      </c>
      <c r="I1941" s="82">
        <v>5.16</v>
      </c>
      <c r="J1941" s="82">
        <v>5.16</v>
      </c>
    </row>
    <row r="1942" spans="1:10" ht="38.25" x14ac:dyDescent="0.2">
      <c r="A1942" s="87" t="s">
        <v>781</v>
      </c>
      <c r="B1942" s="88" t="s">
        <v>832</v>
      </c>
      <c r="C1942" s="87" t="s">
        <v>15</v>
      </c>
      <c r="D1942" s="87" t="s">
        <v>833</v>
      </c>
      <c r="E1942" s="126" t="s">
        <v>784</v>
      </c>
      <c r="F1942" s="126"/>
      <c r="G1942" s="89" t="s">
        <v>785</v>
      </c>
      <c r="H1942" s="90">
        <v>0.1</v>
      </c>
      <c r="I1942" s="91">
        <v>22.61</v>
      </c>
      <c r="J1942" s="91">
        <v>2.2599999999999998</v>
      </c>
    </row>
    <row r="1943" spans="1:10" ht="38.25" x14ac:dyDescent="0.2">
      <c r="A1943" s="87" t="s">
        <v>781</v>
      </c>
      <c r="B1943" s="88" t="s">
        <v>816</v>
      </c>
      <c r="C1943" s="87" t="s">
        <v>15</v>
      </c>
      <c r="D1943" s="87" t="s">
        <v>817</v>
      </c>
      <c r="E1943" s="126" t="s">
        <v>784</v>
      </c>
      <c r="F1943" s="126"/>
      <c r="G1943" s="89" t="s">
        <v>785</v>
      </c>
      <c r="H1943" s="90">
        <v>0.1</v>
      </c>
      <c r="I1943" s="91">
        <v>18.57</v>
      </c>
      <c r="J1943" s="91">
        <v>1.85</v>
      </c>
    </row>
    <row r="1944" spans="1:10" ht="38.25" x14ac:dyDescent="0.2">
      <c r="A1944" s="87" t="s">
        <v>781</v>
      </c>
      <c r="B1944" s="88" t="s">
        <v>1434</v>
      </c>
      <c r="C1944" s="87" t="s">
        <v>15</v>
      </c>
      <c r="D1944" s="87" t="s">
        <v>1435</v>
      </c>
      <c r="E1944" s="126" t="s">
        <v>794</v>
      </c>
      <c r="F1944" s="126"/>
      <c r="G1944" s="89" t="s">
        <v>32</v>
      </c>
      <c r="H1944" s="90">
        <v>2.1999999999999999E-2</v>
      </c>
      <c r="I1944" s="91">
        <v>43.33</v>
      </c>
      <c r="J1944" s="91">
        <v>0.95</v>
      </c>
    </row>
    <row r="1945" spans="1:10" ht="38.25" x14ac:dyDescent="0.2">
      <c r="A1945" s="87" t="s">
        <v>781</v>
      </c>
      <c r="B1945" s="88" t="s">
        <v>1436</v>
      </c>
      <c r="C1945" s="87" t="s">
        <v>15</v>
      </c>
      <c r="D1945" s="87" t="s">
        <v>1437</v>
      </c>
      <c r="E1945" s="126" t="s">
        <v>794</v>
      </c>
      <c r="F1945" s="126"/>
      <c r="G1945" s="89" t="s">
        <v>785</v>
      </c>
      <c r="H1945" s="90">
        <v>0.1</v>
      </c>
      <c r="I1945" s="91">
        <v>1.03</v>
      </c>
      <c r="J1945" s="91">
        <v>0.1</v>
      </c>
    </row>
    <row r="1946" spans="1:10" ht="38.25" x14ac:dyDescent="0.2">
      <c r="A1946" s="92"/>
      <c r="B1946" s="92"/>
      <c r="C1946" s="92"/>
      <c r="D1946" s="92"/>
      <c r="E1946" s="92" t="s">
        <v>801</v>
      </c>
      <c r="F1946" s="93">
        <v>4.1100000000000003</v>
      </c>
      <c r="G1946" s="92" t="s">
        <v>802</v>
      </c>
      <c r="H1946" s="93">
        <v>0</v>
      </c>
      <c r="I1946" s="92" t="s">
        <v>803</v>
      </c>
      <c r="J1946" s="93">
        <v>4.1100000000000003</v>
      </c>
    </row>
    <row r="1947" spans="1:10" ht="38.25" x14ac:dyDescent="0.2">
      <c r="A1947" s="92"/>
      <c r="B1947" s="92"/>
      <c r="C1947" s="92"/>
      <c r="D1947" s="92"/>
      <c r="E1947" s="92" t="s">
        <v>804</v>
      </c>
      <c r="F1947" s="93">
        <v>1.48</v>
      </c>
      <c r="G1947" s="92"/>
      <c r="H1947" s="127" t="s">
        <v>805</v>
      </c>
      <c r="I1947" s="127"/>
      <c r="J1947" s="93">
        <v>6.64</v>
      </c>
    </row>
    <row r="1948" spans="1:10" ht="15" thickBot="1" x14ac:dyDescent="0.25">
      <c r="A1948" s="77"/>
      <c r="B1948" s="77"/>
      <c r="C1948" s="77"/>
      <c r="D1948" s="77"/>
      <c r="E1948" s="77"/>
      <c r="F1948" s="77"/>
      <c r="G1948" s="77" t="s">
        <v>806</v>
      </c>
      <c r="H1948" s="94">
        <v>1.54</v>
      </c>
      <c r="I1948" s="77" t="s">
        <v>807</v>
      </c>
      <c r="J1948" s="78">
        <v>10.220000000000001</v>
      </c>
    </row>
    <row r="1949" spans="1:10" ht="15" thickTop="1" x14ac:dyDescent="0.2">
      <c r="A1949" s="95"/>
      <c r="B1949" s="95"/>
      <c r="C1949" s="95"/>
      <c r="D1949" s="95"/>
      <c r="E1949" s="95"/>
      <c r="F1949" s="95"/>
      <c r="G1949" s="95"/>
      <c r="H1949" s="95"/>
      <c r="I1949" s="95"/>
      <c r="J1949" s="95"/>
    </row>
    <row r="1950" spans="1:10" x14ac:dyDescent="0.2">
      <c r="A1950" s="18" t="s">
        <v>561</v>
      </c>
      <c r="B1950" s="18"/>
      <c r="C1950" s="18"/>
      <c r="D1950" s="18" t="s">
        <v>1363</v>
      </c>
      <c r="E1950" s="18"/>
      <c r="F1950" s="122"/>
      <c r="G1950" s="122"/>
      <c r="H1950" s="39"/>
      <c r="I1950" s="18"/>
      <c r="J1950" s="80">
        <v>2186.4699999999998</v>
      </c>
    </row>
    <row r="1951" spans="1:10" ht="15" x14ac:dyDescent="0.2">
      <c r="A1951" s="75" t="s">
        <v>563</v>
      </c>
      <c r="B1951" s="17" t="s">
        <v>11</v>
      </c>
      <c r="C1951" s="75" t="s">
        <v>12</v>
      </c>
      <c r="D1951" s="75" t="s">
        <v>2</v>
      </c>
      <c r="E1951" s="124" t="s">
        <v>779</v>
      </c>
      <c r="F1951" s="124"/>
      <c r="G1951" s="76" t="s">
        <v>3</v>
      </c>
      <c r="H1951" s="17" t="s">
        <v>4</v>
      </c>
      <c r="I1951" s="17" t="s">
        <v>13</v>
      </c>
      <c r="J1951" s="17" t="s">
        <v>17</v>
      </c>
    </row>
    <row r="1952" spans="1:10" ht="25.5" x14ac:dyDescent="0.2">
      <c r="A1952" s="19" t="s">
        <v>780</v>
      </c>
      <c r="B1952" s="20" t="s">
        <v>120</v>
      </c>
      <c r="C1952" s="19" t="s">
        <v>15</v>
      </c>
      <c r="D1952" s="19" t="s">
        <v>121</v>
      </c>
      <c r="E1952" s="125">
        <v>6.01</v>
      </c>
      <c r="F1952" s="125"/>
      <c r="G1952" s="21" t="s">
        <v>50</v>
      </c>
      <c r="H1952" s="86">
        <v>1</v>
      </c>
      <c r="I1952" s="82">
        <v>46.42</v>
      </c>
      <c r="J1952" s="82">
        <v>46.42</v>
      </c>
    </row>
    <row r="1953" spans="1:10" ht="38.25" x14ac:dyDescent="0.2">
      <c r="A1953" s="87" t="s">
        <v>781</v>
      </c>
      <c r="B1953" s="88" t="s">
        <v>816</v>
      </c>
      <c r="C1953" s="87" t="s">
        <v>15</v>
      </c>
      <c r="D1953" s="87" t="s">
        <v>817</v>
      </c>
      <c r="E1953" s="126" t="s">
        <v>784</v>
      </c>
      <c r="F1953" s="126"/>
      <c r="G1953" s="89" t="s">
        <v>785</v>
      </c>
      <c r="H1953" s="90">
        <v>2.5</v>
      </c>
      <c r="I1953" s="91">
        <v>18.57</v>
      </c>
      <c r="J1953" s="91">
        <v>46.42</v>
      </c>
    </row>
    <row r="1954" spans="1:10" ht="38.25" x14ac:dyDescent="0.2">
      <c r="A1954" s="92"/>
      <c r="B1954" s="92"/>
      <c r="C1954" s="92"/>
      <c r="D1954" s="92"/>
      <c r="E1954" s="92" t="s">
        <v>801</v>
      </c>
      <c r="F1954" s="93">
        <v>46.42</v>
      </c>
      <c r="G1954" s="92" t="s">
        <v>802</v>
      </c>
      <c r="H1954" s="93">
        <v>0</v>
      </c>
      <c r="I1954" s="92" t="s">
        <v>803</v>
      </c>
      <c r="J1954" s="93">
        <v>46.42</v>
      </c>
    </row>
    <row r="1955" spans="1:10" ht="38.25" x14ac:dyDescent="0.2">
      <c r="A1955" s="92"/>
      <c r="B1955" s="92"/>
      <c r="C1955" s="92"/>
      <c r="D1955" s="92"/>
      <c r="E1955" s="92" t="s">
        <v>804</v>
      </c>
      <c r="F1955" s="93">
        <v>13.37</v>
      </c>
      <c r="G1955" s="92"/>
      <c r="H1955" s="127" t="s">
        <v>805</v>
      </c>
      <c r="I1955" s="127"/>
      <c r="J1955" s="93">
        <v>59.79</v>
      </c>
    </row>
    <row r="1956" spans="1:10" ht="15" thickBot="1" x14ac:dyDescent="0.25">
      <c r="A1956" s="77"/>
      <c r="B1956" s="77"/>
      <c r="C1956" s="77"/>
      <c r="D1956" s="77"/>
      <c r="E1956" s="77"/>
      <c r="F1956" s="77"/>
      <c r="G1956" s="77" t="s">
        <v>806</v>
      </c>
      <c r="H1956" s="94">
        <v>1.32</v>
      </c>
      <c r="I1956" s="77" t="s">
        <v>807</v>
      </c>
      <c r="J1956" s="78">
        <v>78.92</v>
      </c>
    </row>
    <row r="1957" spans="1:10" ht="15" thickTop="1" x14ac:dyDescent="0.2">
      <c r="A1957" s="95"/>
      <c r="B1957" s="95"/>
      <c r="C1957" s="95"/>
      <c r="D1957" s="95"/>
      <c r="E1957" s="95"/>
      <c r="F1957" s="95"/>
      <c r="G1957" s="95"/>
      <c r="H1957" s="95"/>
      <c r="I1957" s="95"/>
      <c r="J1957" s="95"/>
    </row>
    <row r="1958" spans="1:10" ht="15" x14ac:dyDescent="0.2">
      <c r="A1958" s="75" t="s">
        <v>566</v>
      </c>
      <c r="B1958" s="17" t="s">
        <v>11</v>
      </c>
      <c r="C1958" s="75" t="s">
        <v>12</v>
      </c>
      <c r="D1958" s="75" t="s">
        <v>2</v>
      </c>
      <c r="E1958" s="124" t="s">
        <v>779</v>
      </c>
      <c r="F1958" s="124"/>
      <c r="G1958" s="76" t="s">
        <v>3</v>
      </c>
      <c r="H1958" s="17" t="s">
        <v>4</v>
      </c>
      <c r="I1958" s="17" t="s">
        <v>13</v>
      </c>
      <c r="J1958" s="17" t="s">
        <v>17</v>
      </c>
    </row>
    <row r="1959" spans="1:10" ht="25.5" x14ac:dyDescent="0.2">
      <c r="A1959" s="19" t="s">
        <v>780</v>
      </c>
      <c r="B1959" s="20" t="s">
        <v>123</v>
      </c>
      <c r="C1959" s="19" t="s">
        <v>31</v>
      </c>
      <c r="D1959" s="19" t="s">
        <v>124</v>
      </c>
      <c r="E1959" s="125" t="s">
        <v>879</v>
      </c>
      <c r="F1959" s="125"/>
      <c r="G1959" s="21" t="s">
        <v>5</v>
      </c>
      <c r="H1959" s="86">
        <v>1</v>
      </c>
      <c r="I1959" s="82">
        <v>8.86</v>
      </c>
      <c r="J1959" s="82">
        <v>8.86</v>
      </c>
    </row>
    <row r="1960" spans="1:10" ht="38.25" x14ac:dyDescent="0.2">
      <c r="A1960" s="96" t="s">
        <v>880</v>
      </c>
      <c r="B1960" s="97" t="s">
        <v>881</v>
      </c>
      <c r="C1960" s="96" t="s">
        <v>31</v>
      </c>
      <c r="D1960" s="96" t="s">
        <v>882</v>
      </c>
      <c r="E1960" s="128" t="s">
        <v>883</v>
      </c>
      <c r="F1960" s="128"/>
      <c r="G1960" s="98" t="s">
        <v>884</v>
      </c>
      <c r="H1960" s="99">
        <v>3.0000000000000001E-3</v>
      </c>
      <c r="I1960" s="100">
        <v>31.06</v>
      </c>
      <c r="J1960" s="100">
        <v>0.09</v>
      </c>
    </row>
    <row r="1961" spans="1:10" ht="38.25" x14ac:dyDescent="0.2">
      <c r="A1961" s="96" t="s">
        <v>880</v>
      </c>
      <c r="B1961" s="97" t="s">
        <v>885</v>
      </c>
      <c r="C1961" s="96" t="s">
        <v>31</v>
      </c>
      <c r="D1961" s="96" t="s">
        <v>886</v>
      </c>
      <c r="E1961" s="128" t="s">
        <v>883</v>
      </c>
      <c r="F1961" s="128"/>
      <c r="G1961" s="98" t="s">
        <v>887</v>
      </c>
      <c r="H1961" s="99">
        <v>3.0000000000000001E-3</v>
      </c>
      <c r="I1961" s="100">
        <v>38.479999999999997</v>
      </c>
      <c r="J1961" s="100">
        <v>0.11</v>
      </c>
    </row>
    <row r="1962" spans="1:10" ht="38.25" x14ac:dyDescent="0.2">
      <c r="A1962" s="96" t="s">
        <v>880</v>
      </c>
      <c r="B1962" s="97" t="s">
        <v>888</v>
      </c>
      <c r="C1962" s="96" t="s">
        <v>31</v>
      </c>
      <c r="D1962" s="96" t="s">
        <v>889</v>
      </c>
      <c r="E1962" s="128" t="s">
        <v>890</v>
      </c>
      <c r="F1962" s="128"/>
      <c r="G1962" s="98" t="s">
        <v>785</v>
      </c>
      <c r="H1962" s="99">
        <v>0.11899999999999999</v>
      </c>
      <c r="I1962" s="100">
        <v>31.42</v>
      </c>
      <c r="J1962" s="100">
        <v>3.73</v>
      </c>
    </row>
    <row r="1963" spans="1:10" ht="38.25" x14ac:dyDescent="0.2">
      <c r="A1963" s="96" t="s">
        <v>880</v>
      </c>
      <c r="B1963" s="97" t="s">
        <v>891</v>
      </c>
      <c r="C1963" s="96" t="s">
        <v>31</v>
      </c>
      <c r="D1963" s="96" t="s">
        <v>892</v>
      </c>
      <c r="E1963" s="128" t="s">
        <v>890</v>
      </c>
      <c r="F1963" s="128"/>
      <c r="G1963" s="98" t="s">
        <v>785</v>
      </c>
      <c r="H1963" s="99">
        <v>0.17899999999999999</v>
      </c>
      <c r="I1963" s="100">
        <v>27.55</v>
      </c>
      <c r="J1963" s="100">
        <v>4.93</v>
      </c>
    </row>
    <row r="1964" spans="1:10" ht="38.25" x14ac:dyDescent="0.2">
      <c r="A1964" s="92"/>
      <c r="B1964" s="92"/>
      <c r="C1964" s="92"/>
      <c r="D1964" s="92"/>
      <c r="E1964" s="92" t="s">
        <v>801</v>
      </c>
      <c r="F1964" s="93">
        <v>6.13</v>
      </c>
      <c r="G1964" s="92" t="s">
        <v>802</v>
      </c>
      <c r="H1964" s="93">
        <v>0</v>
      </c>
      <c r="I1964" s="92" t="s">
        <v>803</v>
      </c>
      <c r="J1964" s="93">
        <v>6.13</v>
      </c>
    </row>
    <row r="1965" spans="1:10" ht="38.25" x14ac:dyDescent="0.2">
      <c r="A1965" s="92"/>
      <c r="B1965" s="92"/>
      <c r="C1965" s="92"/>
      <c r="D1965" s="92"/>
      <c r="E1965" s="92" t="s">
        <v>804</v>
      </c>
      <c r="F1965" s="93">
        <v>2.5499999999999998</v>
      </c>
      <c r="G1965" s="92"/>
      <c r="H1965" s="127" t="s">
        <v>805</v>
      </c>
      <c r="I1965" s="127"/>
      <c r="J1965" s="93">
        <v>11.41</v>
      </c>
    </row>
    <row r="1966" spans="1:10" ht="15" thickBot="1" x14ac:dyDescent="0.25">
      <c r="A1966" s="77"/>
      <c r="B1966" s="77"/>
      <c r="C1966" s="77"/>
      <c r="D1966" s="77"/>
      <c r="E1966" s="77"/>
      <c r="F1966" s="77"/>
      <c r="G1966" s="77" t="s">
        <v>806</v>
      </c>
      <c r="H1966" s="94">
        <v>2.64</v>
      </c>
      <c r="I1966" s="77" t="s">
        <v>807</v>
      </c>
      <c r="J1966" s="78">
        <v>30.12</v>
      </c>
    </row>
    <row r="1967" spans="1:10" ht="15" thickTop="1" x14ac:dyDescent="0.2">
      <c r="A1967" s="95"/>
      <c r="B1967" s="95"/>
      <c r="C1967" s="95"/>
      <c r="D1967" s="95"/>
      <c r="E1967" s="95"/>
      <c r="F1967" s="95"/>
      <c r="G1967" s="95"/>
      <c r="H1967" s="95"/>
      <c r="I1967" s="95"/>
      <c r="J1967" s="95"/>
    </row>
    <row r="1968" spans="1:10" ht="15" x14ac:dyDescent="0.2">
      <c r="A1968" s="75" t="s">
        <v>1364</v>
      </c>
      <c r="B1968" s="17" t="s">
        <v>11</v>
      </c>
      <c r="C1968" s="75" t="s">
        <v>12</v>
      </c>
      <c r="D1968" s="75" t="s">
        <v>2</v>
      </c>
      <c r="E1968" s="124" t="s">
        <v>779</v>
      </c>
      <c r="F1968" s="124"/>
      <c r="G1968" s="76" t="s">
        <v>3</v>
      </c>
      <c r="H1968" s="17" t="s">
        <v>4</v>
      </c>
      <c r="I1968" s="17" t="s">
        <v>13</v>
      </c>
      <c r="J1968" s="17" t="s">
        <v>17</v>
      </c>
    </row>
    <row r="1969" spans="1:10" ht="25.5" x14ac:dyDescent="0.2">
      <c r="A1969" s="19" t="s">
        <v>780</v>
      </c>
      <c r="B1969" s="20" t="s">
        <v>129</v>
      </c>
      <c r="C1969" s="19" t="s">
        <v>15</v>
      </c>
      <c r="D1969" s="19" t="s">
        <v>130</v>
      </c>
      <c r="E1969" s="125">
        <v>11.18</v>
      </c>
      <c r="F1969" s="125"/>
      <c r="G1969" s="21" t="s">
        <v>50</v>
      </c>
      <c r="H1969" s="86">
        <v>1</v>
      </c>
      <c r="I1969" s="82">
        <v>204.52</v>
      </c>
      <c r="J1969" s="82">
        <v>204.52</v>
      </c>
    </row>
    <row r="1970" spans="1:10" ht="38.25" x14ac:dyDescent="0.2">
      <c r="A1970" s="87" t="s">
        <v>781</v>
      </c>
      <c r="B1970" s="88" t="s">
        <v>816</v>
      </c>
      <c r="C1970" s="87" t="s">
        <v>15</v>
      </c>
      <c r="D1970" s="87" t="s">
        <v>817</v>
      </c>
      <c r="E1970" s="126" t="s">
        <v>784</v>
      </c>
      <c r="F1970" s="126"/>
      <c r="G1970" s="89" t="s">
        <v>785</v>
      </c>
      <c r="H1970" s="90">
        <v>1.5</v>
      </c>
      <c r="I1970" s="91">
        <v>18.57</v>
      </c>
      <c r="J1970" s="91">
        <v>27.85</v>
      </c>
    </row>
    <row r="1971" spans="1:10" ht="38.25" x14ac:dyDescent="0.2">
      <c r="A1971" s="87" t="s">
        <v>781</v>
      </c>
      <c r="B1971" s="88" t="s">
        <v>897</v>
      </c>
      <c r="C1971" s="87" t="s">
        <v>15</v>
      </c>
      <c r="D1971" s="87" t="s">
        <v>898</v>
      </c>
      <c r="E1971" s="126" t="s">
        <v>794</v>
      </c>
      <c r="F1971" s="126"/>
      <c r="G1971" s="89" t="s">
        <v>50</v>
      </c>
      <c r="H1971" s="90">
        <v>1.2</v>
      </c>
      <c r="I1971" s="91">
        <v>147.22999999999999</v>
      </c>
      <c r="J1971" s="91">
        <v>176.67</v>
      </c>
    </row>
    <row r="1972" spans="1:10" ht="38.25" x14ac:dyDescent="0.2">
      <c r="A1972" s="92"/>
      <c r="B1972" s="92"/>
      <c r="C1972" s="92"/>
      <c r="D1972" s="92"/>
      <c r="E1972" s="92" t="s">
        <v>801</v>
      </c>
      <c r="F1972" s="93">
        <v>27.85</v>
      </c>
      <c r="G1972" s="92" t="s">
        <v>802</v>
      </c>
      <c r="H1972" s="93">
        <v>0</v>
      </c>
      <c r="I1972" s="92" t="s">
        <v>803</v>
      </c>
      <c r="J1972" s="93">
        <v>27.85</v>
      </c>
    </row>
    <row r="1973" spans="1:10" ht="38.25" x14ac:dyDescent="0.2">
      <c r="A1973" s="92"/>
      <c r="B1973" s="92"/>
      <c r="C1973" s="92"/>
      <c r="D1973" s="92"/>
      <c r="E1973" s="92" t="s">
        <v>804</v>
      </c>
      <c r="F1973" s="93">
        <v>58.94</v>
      </c>
      <c r="G1973" s="92"/>
      <c r="H1973" s="127" t="s">
        <v>805</v>
      </c>
      <c r="I1973" s="127"/>
      <c r="J1973" s="93">
        <v>263.45999999999998</v>
      </c>
    </row>
    <row r="1974" spans="1:10" ht="15" thickBot="1" x14ac:dyDescent="0.25">
      <c r="A1974" s="77"/>
      <c r="B1974" s="77"/>
      <c r="C1974" s="77"/>
      <c r="D1974" s="77"/>
      <c r="E1974" s="77"/>
      <c r="F1974" s="77"/>
      <c r="G1974" s="77" t="s">
        <v>806</v>
      </c>
      <c r="H1974" s="94">
        <v>0.13</v>
      </c>
      <c r="I1974" s="77" t="s">
        <v>807</v>
      </c>
      <c r="J1974" s="78">
        <v>34.24</v>
      </c>
    </row>
    <row r="1975" spans="1:10" ht="15" thickTop="1" x14ac:dyDescent="0.2">
      <c r="A1975" s="95"/>
      <c r="B1975" s="95"/>
      <c r="C1975" s="95"/>
      <c r="D1975" s="95"/>
      <c r="E1975" s="95"/>
      <c r="F1975" s="95"/>
      <c r="G1975" s="95"/>
      <c r="H1975" s="95"/>
      <c r="I1975" s="95"/>
      <c r="J1975" s="95"/>
    </row>
    <row r="1976" spans="1:10" ht="15" x14ac:dyDescent="0.2">
      <c r="A1976" s="75" t="s">
        <v>1365</v>
      </c>
      <c r="B1976" s="17" t="s">
        <v>11</v>
      </c>
      <c r="C1976" s="75" t="s">
        <v>12</v>
      </c>
      <c r="D1976" s="75" t="s">
        <v>2</v>
      </c>
      <c r="E1976" s="124" t="s">
        <v>779</v>
      </c>
      <c r="F1976" s="124"/>
      <c r="G1976" s="76" t="s">
        <v>3</v>
      </c>
      <c r="H1976" s="17" t="s">
        <v>4</v>
      </c>
      <c r="I1976" s="17" t="s">
        <v>13</v>
      </c>
      <c r="J1976" s="17" t="s">
        <v>17</v>
      </c>
    </row>
    <row r="1977" spans="1:10" ht="25.5" x14ac:dyDescent="0.2">
      <c r="A1977" s="19" t="s">
        <v>780</v>
      </c>
      <c r="B1977" s="20" t="s">
        <v>126</v>
      </c>
      <c r="C1977" s="19" t="s">
        <v>15</v>
      </c>
      <c r="D1977" s="19" t="s">
        <v>127</v>
      </c>
      <c r="E1977" s="125">
        <v>9.01</v>
      </c>
      <c r="F1977" s="125"/>
      <c r="G1977" s="21" t="s">
        <v>5</v>
      </c>
      <c r="H1977" s="86">
        <v>1</v>
      </c>
      <c r="I1977" s="82">
        <v>98.53</v>
      </c>
      <c r="J1977" s="82">
        <v>98.53</v>
      </c>
    </row>
    <row r="1978" spans="1:10" ht="38.25" x14ac:dyDescent="0.2">
      <c r="A1978" s="87" t="s">
        <v>781</v>
      </c>
      <c r="B1978" s="88" t="s">
        <v>782</v>
      </c>
      <c r="C1978" s="87" t="s">
        <v>15</v>
      </c>
      <c r="D1978" s="87" t="s">
        <v>783</v>
      </c>
      <c r="E1978" s="126" t="s">
        <v>784</v>
      </c>
      <c r="F1978" s="126"/>
      <c r="G1978" s="89" t="s">
        <v>785</v>
      </c>
      <c r="H1978" s="90">
        <v>1.3</v>
      </c>
      <c r="I1978" s="91">
        <v>18.57</v>
      </c>
      <c r="J1978" s="91">
        <v>24.14</v>
      </c>
    </row>
    <row r="1979" spans="1:10" ht="38.25" x14ac:dyDescent="0.2">
      <c r="A1979" s="87" t="s">
        <v>781</v>
      </c>
      <c r="B1979" s="88" t="s">
        <v>790</v>
      </c>
      <c r="C1979" s="87" t="s">
        <v>15</v>
      </c>
      <c r="D1979" s="87" t="s">
        <v>791</v>
      </c>
      <c r="E1979" s="126" t="s">
        <v>784</v>
      </c>
      <c r="F1979" s="126"/>
      <c r="G1979" s="89" t="s">
        <v>785</v>
      </c>
      <c r="H1979" s="90">
        <v>1.3</v>
      </c>
      <c r="I1979" s="91">
        <v>22.61</v>
      </c>
      <c r="J1979" s="91">
        <v>29.39</v>
      </c>
    </row>
    <row r="1980" spans="1:10" ht="38.25" x14ac:dyDescent="0.2">
      <c r="A1980" s="87" t="s">
        <v>781</v>
      </c>
      <c r="B1980" s="88" t="s">
        <v>893</v>
      </c>
      <c r="C1980" s="87" t="s">
        <v>15</v>
      </c>
      <c r="D1980" s="87" t="s">
        <v>894</v>
      </c>
      <c r="E1980" s="126" t="s">
        <v>794</v>
      </c>
      <c r="F1980" s="126"/>
      <c r="G1980" s="89" t="s">
        <v>78</v>
      </c>
      <c r="H1980" s="90">
        <v>0.5</v>
      </c>
      <c r="I1980" s="91">
        <v>7.59</v>
      </c>
      <c r="J1980" s="91">
        <v>3.79</v>
      </c>
    </row>
    <row r="1981" spans="1:10" ht="38.25" x14ac:dyDescent="0.2">
      <c r="A1981" s="87" t="s">
        <v>781</v>
      </c>
      <c r="B1981" s="88" t="s">
        <v>818</v>
      </c>
      <c r="C1981" s="87" t="s">
        <v>15</v>
      </c>
      <c r="D1981" s="87" t="s">
        <v>819</v>
      </c>
      <c r="E1981" s="126" t="s">
        <v>794</v>
      </c>
      <c r="F1981" s="126"/>
      <c r="G1981" s="89" t="s">
        <v>5</v>
      </c>
      <c r="H1981" s="90">
        <v>0.3</v>
      </c>
      <c r="I1981" s="91">
        <v>112.78</v>
      </c>
      <c r="J1981" s="91">
        <v>33.83</v>
      </c>
    </row>
    <row r="1982" spans="1:10" ht="38.25" x14ac:dyDescent="0.2">
      <c r="A1982" s="87" t="s">
        <v>781</v>
      </c>
      <c r="B1982" s="88" t="s">
        <v>795</v>
      </c>
      <c r="C1982" s="87" t="s">
        <v>15</v>
      </c>
      <c r="D1982" s="87" t="s">
        <v>796</v>
      </c>
      <c r="E1982" s="126" t="s">
        <v>794</v>
      </c>
      <c r="F1982" s="126"/>
      <c r="G1982" s="89" t="s">
        <v>134</v>
      </c>
      <c r="H1982" s="90">
        <v>0.15</v>
      </c>
      <c r="I1982" s="91">
        <v>11.64</v>
      </c>
      <c r="J1982" s="91">
        <v>1.74</v>
      </c>
    </row>
    <row r="1983" spans="1:10" ht="38.25" x14ac:dyDescent="0.2">
      <c r="A1983" s="87" t="s">
        <v>781</v>
      </c>
      <c r="B1983" s="88" t="s">
        <v>895</v>
      </c>
      <c r="C1983" s="87" t="s">
        <v>15</v>
      </c>
      <c r="D1983" s="87" t="s">
        <v>896</v>
      </c>
      <c r="E1983" s="126" t="s">
        <v>794</v>
      </c>
      <c r="F1983" s="126"/>
      <c r="G1983" s="89" t="s">
        <v>720</v>
      </c>
      <c r="H1983" s="90">
        <v>0.4</v>
      </c>
      <c r="I1983" s="91">
        <v>14.1</v>
      </c>
      <c r="J1983" s="91">
        <v>5.64</v>
      </c>
    </row>
    <row r="1984" spans="1:10" ht="38.25" x14ac:dyDescent="0.2">
      <c r="A1984" s="92"/>
      <c r="B1984" s="92"/>
      <c r="C1984" s="92"/>
      <c r="D1984" s="92"/>
      <c r="E1984" s="92" t="s">
        <v>801</v>
      </c>
      <c r="F1984" s="93">
        <v>53.53</v>
      </c>
      <c r="G1984" s="92" t="s">
        <v>802</v>
      </c>
      <c r="H1984" s="93">
        <v>0</v>
      </c>
      <c r="I1984" s="92" t="s">
        <v>803</v>
      </c>
      <c r="J1984" s="93">
        <v>53.53</v>
      </c>
    </row>
    <row r="1985" spans="1:10" ht="38.25" x14ac:dyDescent="0.2">
      <c r="A1985" s="92"/>
      <c r="B1985" s="92"/>
      <c r="C1985" s="92"/>
      <c r="D1985" s="92"/>
      <c r="E1985" s="92" t="s">
        <v>804</v>
      </c>
      <c r="F1985" s="93">
        <v>28.39</v>
      </c>
      <c r="G1985" s="92"/>
      <c r="H1985" s="127" t="s">
        <v>805</v>
      </c>
      <c r="I1985" s="127"/>
      <c r="J1985" s="93">
        <v>126.92</v>
      </c>
    </row>
    <row r="1986" spans="1:10" ht="15" thickBot="1" x14ac:dyDescent="0.25">
      <c r="A1986" s="77"/>
      <c r="B1986" s="77"/>
      <c r="C1986" s="77"/>
      <c r="D1986" s="77"/>
      <c r="E1986" s="77"/>
      <c r="F1986" s="77"/>
      <c r="G1986" s="77" t="s">
        <v>806</v>
      </c>
      <c r="H1986" s="94">
        <v>5.0199999999999996</v>
      </c>
      <c r="I1986" s="77" t="s">
        <v>807</v>
      </c>
      <c r="J1986" s="78">
        <v>637.13</v>
      </c>
    </row>
    <row r="1987" spans="1:10" ht="15" thickTop="1" x14ac:dyDescent="0.2">
      <c r="A1987" s="95"/>
      <c r="B1987" s="95"/>
      <c r="C1987" s="95"/>
      <c r="D1987" s="95"/>
      <c r="E1987" s="95"/>
      <c r="F1987" s="95"/>
      <c r="G1987" s="95"/>
      <c r="H1987" s="95"/>
      <c r="I1987" s="95"/>
      <c r="J1987" s="95"/>
    </row>
    <row r="1988" spans="1:10" ht="15" x14ac:dyDescent="0.2">
      <c r="A1988" s="75" t="s">
        <v>1366</v>
      </c>
      <c r="B1988" s="17" t="s">
        <v>11</v>
      </c>
      <c r="C1988" s="75" t="s">
        <v>12</v>
      </c>
      <c r="D1988" s="75" t="s">
        <v>2</v>
      </c>
      <c r="E1988" s="124" t="s">
        <v>779</v>
      </c>
      <c r="F1988" s="124"/>
      <c r="G1988" s="76" t="s">
        <v>3</v>
      </c>
      <c r="H1988" s="17" t="s">
        <v>4</v>
      </c>
      <c r="I1988" s="17" t="s">
        <v>13</v>
      </c>
      <c r="J1988" s="17" t="s">
        <v>17</v>
      </c>
    </row>
    <row r="1989" spans="1:10" ht="25.5" x14ac:dyDescent="0.2">
      <c r="A1989" s="19" t="s">
        <v>780</v>
      </c>
      <c r="B1989" s="20" t="s">
        <v>132</v>
      </c>
      <c r="C1989" s="19" t="s">
        <v>15</v>
      </c>
      <c r="D1989" s="19" t="s">
        <v>133</v>
      </c>
      <c r="E1989" s="125">
        <v>10.01</v>
      </c>
      <c r="F1989" s="125"/>
      <c r="G1989" s="21" t="s">
        <v>134</v>
      </c>
      <c r="H1989" s="86">
        <v>1</v>
      </c>
      <c r="I1989" s="82">
        <v>10.38</v>
      </c>
      <c r="J1989" s="82">
        <v>10.38</v>
      </c>
    </row>
    <row r="1990" spans="1:10" ht="38.25" x14ac:dyDescent="0.2">
      <c r="A1990" s="87" t="s">
        <v>781</v>
      </c>
      <c r="B1990" s="88" t="s">
        <v>865</v>
      </c>
      <c r="C1990" s="87" t="s">
        <v>15</v>
      </c>
      <c r="D1990" s="87" t="s">
        <v>866</v>
      </c>
      <c r="E1990" s="126" t="s">
        <v>784</v>
      </c>
      <c r="F1990" s="126"/>
      <c r="G1990" s="89" t="s">
        <v>785</v>
      </c>
      <c r="H1990" s="90">
        <v>0.08</v>
      </c>
      <c r="I1990" s="91">
        <v>18.57</v>
      </c>
      <c r="J1990" s="91">
        <v>1.48</v>
      </c>
    </row>
    <row r="1991" spans="1:10" ht="38.25" x14ac:dyDescent="0.2">
      <c r="A1991" s="87" t="s">
        <v>781</v>
      </c>
      <c r="B1991" s="88" t="s">
        <v>867</v>
      </c>
      <c r="C1991" s="87" t="s">
        <v>15</v>
      </c>
      <c r="D1991" s="87" t="s">
        <v>868</v>
      </c>
      <c r="E1991" s="126" t="s">
        <v>784</v>
      </c>
      <c r="F1991" s="126"/>
      <c r="G1991" s="89" t="s">
        <v>785</v>
      </c>
      <c r="H1991" s="90">
        <v>0.04</v>
      </c>
      <c r="I1991" s="91">
        <v>22.61</v>
      </c>
      <c r="J1991" s="91">
        <v>0.9</v>
      </c>
    </row>
    <row r="1992" spans="1:10" ht="38.25" x14ac:dyDescent="0.2">
      <c r="A1992" s="87" t="s">
        <v>781</v>
      </c>
      <c r="B1992" s="88" t="s">
        <v>871</v>
      </c>
      <c r="C1992" s="87" t="s">
        <v>15</v>
      </c>
      <c r="D1992" s="87" t="s">
        <v>872</v>
      </c>
      <c r="E1992" s="126" t="s">
        <v>794</v>
      </c>
      <c r="F1992" s="126"/>
      <c r="G1992" s="89" t="s">
        <v>134</v>
      </c>
      <c r="H1992" s="90">
        <v>1.1000000000000001</v>
      </c>
      <c r="I1992" s="91">
        <v>6.9</v>
      </c>
      <c r="J1992" s="91">
        <v>7.59</v>
      </c>
    </row>
    <row r="1993" spans="1:10" ht="38.25" x14ac:dyDescent="0.2">
      <c r="A1993" s="87" t="s">
        <v>781</v>
      </c>
      <c r="B1993" s="88" t="s">
        <v>875</v>
      </c>
      <c r="C1993" s="87" t="s">
        <v>15</v>
      </c>
      <c r="D1993" s="87" t="s">
        <v>876</v>
      </c>
      <c r="E1993" s="126" t="s">
        <v>794</v>
      </c>
      <c r="F1993" s="126"/>
      <c r="G1993" s="89" t="s">
        <v>134</v>
      </c>
      <c r="H1993" s="90">
        <v>0.03</v>
      </c>
      <c r="I1993" s="91">
        <v>13.7</v>
      </c>
      <c r="J1993" s="91">
        <v>0.41</v>
      </c>
    </row>
    <row r="1994" spans="1:10" ht="38.25" x14ac:dyDescent="0.2">
      <c r="A1994" s="92"/>
      <c r="B1994" s="92"/>
      <c r="C1994" s="92"/>
      <c r="D1994" s="92"/>
      <c r="E1994" s="92" t="s">
        <v>801</v>
      </c>
      <c r="F1994" s="93">
        <v>2.38</v>
      </c>
      <c r="G1994" s="92" t="s">
        <v>802</v>
      </c>
      <c r="H1994" s="93">
        <v>0</v>
      </c>
      <c r="I1994" s="92" t="s">
        <v>803</v>
      </c>
      <c r="J1994" s="93">
        <v>2.38</v>
      </c>
    </row>
    <row r="1995" spans="1:10" ht="38.25" x14ac:dyDescent="0.2">
      <c r="A1995" s="92"/>
      <c r="B1995" s="92"/>
      <c r="C1995" s="92"/>
      <c r="D1995" s="92"/>
      <c r="E1995" s="92" t="s">
        <v>804</v>
      </c>
      <c r="F1995" s="93">
        <v>2.99</v>
      </c>
      <c r="G1995" s="92"/>
      <c r="H1995" s="127" t="s">
        <v>805</v>
      </c>
      <c r="I1995" s="127"/>
      <c r="J1995" s="93">
        <v>13.37</v>
      </c>
    </row>
    <row r="1996" spans="1:10" ht="15" thickBot="1" x14ac:dyDescent="0.25">
      <c r="A1996" s="77"/>
      <c r="B1996" s="77"/>
      <c r="C1996" s="77"/>
      <c r="D1996" s="77"/>
      <c r="E1996" s="77"/>
      <c r="F1996" s="77"/>
      <c r="G1996" s="77" t="s">
        <v>806</v>
      </c>
      <c r="H1996" s="94">
        <v>55.46</v>
      </c>
      <c r="I1996" s="77" t="s">
        <v>807</v>
      </c>
      <c r="J1996" s="78">
        <v>741.5</v>
      </c>
    </row>
    <row r="1997" spans="1:10" ht="15" thickTop="1" x14ac:dyDescent="0.2">
      <c r="A1997" s="95"/>
      <c r="B1997" s="95"/>
      <c r="C1997" s="95"/>
      <c r="D1997" s="95"/>
      <c r="E1997" s="95"/>
      <c r="F1997" s="95"/>
      <c r="G1997" s="95"/>
      <c r="H1997" s="95"/>
      <c r="I1997" s="95"/>
      <c r="J1997" s="95"/>
    </row>
    <row r="1998" spans="1:10" ht="15" x14ac:dyDescent="0.2">
      <c r="A1998" s="75" t="s">
        <v>1367</v>
      </c>
      <c r="B1998" s="17" t="s">
        <v>11</v>
      </c>
      <c r="C1998" s="75" t="s">
        <v>12</v>
      </c>
      <c r="D1998" s="75" t="s">
        <v>2</v>
      </c>
      <c r="E1998" s="124" t="s">
        <v>779</v>
      </c>
      <c r="F1998" s="124"/>
      <c r="G1998" s="76" t="s">
        <v>3</v>
      </c>
      <c r="H1998" s="17" t="s">
        <v>4</v>
      </c>
      <c r="I1998" s="17" t="s">
        <v>13</v>
      </c>
      <c r="J1998" s="17" t="s">
        <v>17</v>
      </c>
    </row>
    <row r="1999" spans="1:10" ht="25.5" x14ac:dyDescent="0.2">
      <c r="A1999" s="19" t="s">
        <v>780</v>
      </c>
      <c r="B1999" s="20" t="s">
        <v>136</v>
      </c>
      <c r="C1999" s="19" t="s">
        <v>15</v>
      </c>
      <c r="D1999" s="19" t="s">
        <v>137</v>
      </c>
      <c r="E1999" s="125">
        <v>11.01</v>
      </c>
      <c r="F1999" s="125"/>
      <c r="G1999" s="21" t="s">
        <v>50</v>
      </c>
      <c r="H1999" s="86">
        <v>1</v>
      </c>
      <c r="I1999" s="82">
        <v>565.37</v>
      </c>
      <c r="J1999" s="82">
        <v>565.37</v>
      </c>
    </row>
    <row r="2000" spans="1:10" ht="38.25" x14ac:dyDescent="0.2">
      <c r="A2000" s="87" t="s">
        <v>781</v>
      </c>
      <c r="B2000" s="88" t="s">
        <v>899</v>
      </c>
      <c r="C2000" s="87" t="s">
        <v>15</v>
      </c>
      <c r="D2000" s="87" t="s">
        <v>900</v>
      </c>
      <c r="E2000" s="126" t="s">
        <v>794</v>
      </c>
      <c r="F2000" s="126"/>
      <c r="G2000" s="89" t="s">
        <v>50</v>
      </c>
      <c r="H2000" s="90">
        <v>1.03</v>
      </c>
      <c r="I2000" s="91">
        <v>548.91</v>
      </c>
      <c r="J2000" s="91">
        <v>565.37</v>
      </c>
    </row>
    <row r="2001" spans="1:10" ht="38.25" x14ac:dyDescent="0.2">
      <c r="A2001" s="92"/>
      <c r="B2001" s="92"/>
      <c r="C2001" s="92"/>
      <c r="D2001" s="92"/>
      <c r="E2001" s="92" t="s">
        <v>801</v>
      </c>
      <c r="F2001" s="93">
        <v>0</v>
      </c>
      <c r="G2001" s="92" t="s">
        <v>802</v>
      </c>
      <c r="H2001" s="93">
        <v>0</v>
      </c>
      <c r="I2001" s="92" t="s">
        <v>803</v>
      </c>
      <c r="J2001" s="93">
        <v>0</v>
      </c>
    </row>
    <row r="2002" spans="1:10" ht="38.25" x14ac:dyDescent="0.2">
      <c r="A2002" s="92"/>
      <c r="B2002" s="92"/>
      <c r="C2002" s="92"/>
      <c r="D2002" s="92"/>
      <c r="E2002" s="92" t="s">
        <v>804</v>
      </c>
      <c r="F2002" s="93">
        <v>162.93</v>
      </c>
      <c r="G2002" s="92"/>
      <c r="H2002" s="127" t="s">
        <v>805</v>
      </c>
      <c r="I2002" s="127"/>
      <c r="J2002" s="93">
        <v>728.3</v>
      </c>
    </row>
    <row r="2003" spans="1:10" ht="15" thickBot="1" x14ac:dyDescent="0.25">
      <c r="A2003" s="77"/>
      <c r="B2003" s="77"/>
      <c r="C2003" s="77"/>
      <c r="D2003" s="77"/>
      <c r="E2003" s="77"/>
      <c r="F2003" s="77"/>
      <c r="G2003" s="77" t="s">
        <v>806</v>
      </c>
      <c r="H2003" s="94">
        <v>0.59</v>
      </c>
      <c r="I2003" s="77" t="s">
        <v>807</v>
      </c>
      <c r="J2003" s="78">
        <v>429.69</v>
      </c>
    </row>
    <row r="2004" spans="1:10" ht="15" thickTop="1" x14ac:dyDescent="0.2">
      <c r="A2004" s="95"/>
      <c r="B2004" s="95"/>
      <c r="C2004" s="95"/>
      <c r="D2004" s="95"/>
      <c r="E2004" s="95"/>
      <c r="F2004" s="95"/>
      <c r="G2004" s="95"/>
      <c r="H2004" s="95"/>
      <c r="I2004" s="95"/>
      <c r="J2004" s="95"/>
    </row>
    <row r="2005" spans="1:10" ht="15" x14ac:dyDescent="0.2">
      <c r="A2005" s="75" t="s">
        <v>1368</v>
      </c>
      <c r="B2005" s="17" t="s">
        <v>11</v>
      </c>
      <c r="C2005" s="75" t="s">
        <v>12</v>
      </c>
      <c r="D2005" s="75" t="s">
        <v>2</v>
      </c>
      <c r="E2005" s="124" t="s">
        <v>779</v>
      </c>
      <c r="F2005" s="124"/>
      <c r="G2005" s="76" t="s">
        <v>3</v>
      </c>
      <c r="H2005" s="17" t="s">
        <v>4</v>
      </c>
      <c r="I2005" s="17" t="s">
        <v>13</v>
      </c>
      <c r="J2005" s="17" t="s">
        <v>17</v>
      </c>
    </row>
    <row r="2006" spans="1:10" ht="25.5" x14ac:dyDescent="0.2">
      <c r="A2006" s="19" t="s">
        <v>780</v>
      </c>
      <c r="B2006" s="20" t="s">
        <v>139</v>
      </c>
      <c r="C2006" s="19" t="s">
        <v>15</v>
      </c>
      <c r="D2006" s="19" t="s">
        <v>140</v>
      </c>
      <c r="E2006" s="125">
        <v>11.16</v>
      </c>
      <c r="F2006" s="125"/>
      <c r="G2006" s="21" t="s">
        <v>50</v>
      </c>
      <c r="H2006" s="86">
        <v>1</v>
      </c>
      <c r="I2006" s="82">
        <v>156.63999999999999</v>
      </c>
      <c r="J2006" s="82">
        <v>156.63999999999999</v>
      </c>
    </row>
    <row r="2007" spans="1:10" ht="38.25" x14ac:dyDescent="0.2">
      <c r="A2007" s="87" t="s">
        <v>781</v>
      </c>
      <c r="B2007" s="88" t="s">
        <v>832</v>
      </c>
      <c r="C2007" s="87" t="s">
        <v>15</v>
      </c>
      <c r="D2007" s="87" t="s">
        <v>833</v>
      </c>
      <c r="E2007" s="126" t="s">
        <v>784</v>
      </c>
      <c r="F2007" s="126"/>
      <c r="G2007" s="89" t="s">
        <v>785</v>
      </c>
      <c r="H2007" s="90">
        <v>2</v>
      </c>
      <c r="I2007" s="91">
        <v>22.61</v>
      </c>
      <c r="J2007" s="91">
        <v>45.22</v>
      </c>
    </row>
    <row r="2008" spans="1:10" ht="38.25" x14ac:dyDescent="0.2">
      <c r="A2008" s="87" t="s">
        <v>781</v>
      </c>
      <c r="B2008" s="88" t="s">
        <v>816</v>
      </c>
      <c r="C2008" s="87" t="s">
        <v>15</v>
      </c>
      <c r="D2008" s="87" t="s">
        <v>817</v>
      </c>
      <c r="E2008" s="126" t="s">
        <v>784</v>
      </c>
      <c r="F2008" s="126"/>
      <c r="G2008" s="89" t="s">
        <v>785</v>
      </c>
      <c r="H2008" s="90">
        <v>6</v>
      </c>
      <c r="I2008" s="91">
        <v>18.57</v>
      </c>
      <c r="J2008" s="91">
        <v>111.42</v>
      </c>
    </row>
    <row r="2009" spans="1:10" ht="38.25" x14ac:dyDescent="0.2">
      <c r="A2009" s="92"/>
      <c r="B2009" s="92"/>
      <c r="C2009" s="92"/>
      <c r="D2009" s="92"/>
      <c r="E2009" s="92" t="s">
        <v>801</v>
      </c>
      <c r="F2009" s="93">
        <v>156.63999999999999</v>
      </c>
      <c r="G2009" s="92" t="s">
        <v>802</v>
      </c>
      <c r="H2009" s="93">
        <v>0</v>
      </c>
      <c r="I2009" s="92" t="s">
        <v>803</v>
      </c>
      <c r="J2009" s="93">
        <v>156.63999999999999</v>
      </c>
    </row>
    <row r="2010" spans="1:10" ht="38.25" x14ac:dyDescent="0.2">
      <c r="A2010" s="92"/>
      <c r="B2010" s="92"/>
      <c r="C2010" s="92"/>
      <c r="D2010" s="92"/>
      <c r="E2010" s="92" t="s">
        <v>804</v>
      </c>
      <c r="F2010" s="93">
        <v>45.14</v>
      </c>
      <c r="G2010" s="92"/>
      <c r="H2010" s="127" t="s">
        <v>805</v>
      </c>
      <c r="I2010" s="127"/>
      <c r="J2010" s="93">
        <v>201.78</v>
      </c>
    </row>
    <row r="2011" spans="1:10" ht="15" thickBot="1" x14ac:dyDescent="0.25">
      <c r="A2011" s="77"/>
      <c r="B2011" s="77"/>
      <c r="C2011" s="77"/>
      <c r="D2011" s="77"/>
      <c r="E2011" s="77"/>
      <c r="F2011" s="77"/>
      <c r="G2011" s="77" t="s">
        <v>806</v>
      </c>
      <c r="H2011" s="94">
        <v>0.59</v>
      </c>
      <c r="I2011" s="77" t="s">
        <v>807</v>
      </c>
      <c r="J2011" s="78">
        <v>119.05</v>
      </c>
    </row>
    <row r="2012" spans="1:10" ht="15" thickTop="1" x14ac:dyDescent="0.2">
      <c r="A2012" s="95"/>
      <c r="B2012" s="95"/>
      <c r="C2012" s="95"/>
      <c r="D2012" s="95"/>
      <c r="E2012" s="95"/>
      <c r="F2012" s="95"/>
      <c r="G2012" s="95"/>
      <c r="H2012" s="95"/>
      <c r="I2012" s="95"/>
      <c r="J2012" s="95"/>
    </row>
    <row r="2013" spans="1:10" ht="15" x14ac:dyDescent="0.2">
      <c r="A2013" s="75" t="s">
        <v>1369</v>
      </c>
      <c r="B2013" s="17" t="s">
        <v>11</v>
      </c>
      <c r="C2013" s="75" t="s">
        <v>12</v>
      </c>
      <c r="D2013" s="75" t="s">
        <v>2</v>
      </c>
      <c r="E2013" s="124" t="s">
        <v>779</v>
      </c>
      <c r="F2013" s="124"/>
      <c r="G2013" s="76" t="s">
        <v>3</v>
      </c>
      <c r="H2013" s="17" t="s">
        <v>4</v>
      </c>
      <c r="I2013" s="17" t="s">
        <v>13</v>
      </c>
      <c r="J2013" s="17" t="s">
        <v>17</v>
      </c>
    </row>
    <row r="2014" spans="1:10" ht="25.5" x14ac:dyDescent="0.2">
      <c r="A2014" s="19" t="s">
        <v>780</v>
      </c>
      <c r="B2014" s="20" t="s">
        <v>145</v>
      </c>
      <c r="C2014" s="19" t="s">
        <v>15</v>
      </c>
      <c r="D2014" s="19" t="s">
        <v>146</v>
      </c>
      <c r="E2014" s="125">
        <v>6.11</v>
      </c>
      <c r="F2014" s="125"/>
      <c r="G2014" s="21" t="s">
        <v>50</v>
      </c>
      <c r="H2014" s="86">
        <v>1</v>
      </c>
      <c r="I2014" s="82">
        <v>7.98</v>
      </c>
      <c r="J2014" s="82">
        <v>7.98</v>
      </c>
    </row>
    <row r="2015" spans="1:10" ht="38.25" x14ac:dyDescent="0.2">
      <c r="A2015" s="87" t="s">
        <v>781</v>
      </c>
      <c r="B2015" s="88" t="s">
        <v>816</v>
      </c>
      <c r="C2015" s="87" t="s">
        <v>15</v>
      </c>
      <c r="D2015" s="87" t="s">
        <v>817</v>
      </c>
      <c r="E2015" s="126" t="s">
        <v>784</v>
      </c>
      <c r="F2015" s="126"/>
      <c r="G2015" s="89" t="s">
        <v>785</v>
      </c>
      <c r="H2015" s="90">
        <v>0.43</v>
      </c>
      <c r="I2015" s="91">
        <v>18.57</v>
      </c>
      <c r="J2015" s="91">
        <v>7.98</v>
      </c>
    </row>
    <row r="2016" spans="1:10" ht="38.25" x14ac:dyDescent="0.2">
      <c r="A2016" s="92"/>
      <c r="B2016" s="92"/>
      <c r="C2016" s="92"/>
      <c r="D2016" s="92"/>
      <c r="E2016" s="92" t="s">
        <v>801</v>
      </c>
      <c r="F2016" s="93">
        <v>7.98</v>
      </c>
      <c r="G2016" s="92" t="s">
        <v>802</v>
      </c>
      <c r="H2016" s="93">
        <v>0</v>
      </c>
      <c r="I2016" s="92" t="s">
        <v>803</v>
      </c>
      <c r="J2016" s="93">
        <v>7.98</v>
      </c>
    </row>
    <row r="2017" spans="1:10" ht="38.25" x14ac:dyDescent="0.2">
      <c r="A2017" s="92"/>
      <c r="B2017" s="92"/>
      <c r="C2017" s="92"/>
      <c r="D2017" s="92"/>
      <c r="E2017" s="92" t="s">
        <v>804</v>
      </c>
      <c r="F2017" s="93">
        <v>2.29</v>
      </c>
      <c r="G2017" s="92"/>
      <c r="H2017" s="127" t="s">
        <v>805</v>
      </c>
      <c r="I2017" s="127"/>
      <c r="J2017" s="93">
        <v>10.27</v>
      </c>
    </row>
    <row r="2018" spans="1:10" ht="15" thickBot="1" x14ac:dyDescent="0.25">
      <c r="A2018" s="77"/>
      <c r="B2018" s="77"/>
      <c r="C2018" s="77"/>
      <c r="D2018" s="77"/>
      <c r="E2018" s="77"/>
      <c r="F2018" s="77"/>
      <c r="G2018" s="77" t="s">
        <v>806</v>
      </c>
      <c r="H2018" s="94">
        <v>0.77</v>
      </c>
      <c r="I2018" s="77" t="s">
        <v>807</v>
      </c>
      <c r="J2018" s="78">
        <v>7.9</v>
      </c>
    </row>
    <row r="2019" spans="1:10" ht="15" thickTop="1" x14ac:dyDescent="0.2">
      <c r="A2019" s="95"/>
      <c r="B2019" s="95"/>
      <c r="C2019" s="95"/>
      <c r="D2019" s="95"/>
      <c r="E2019" s="95"/>
      <c r="F2019" s="95"/>
      <c r="G2019" s="95"/>
      <c r="H2019" s="95"/>
      <c r="I2019" s="95"/>
      <c r="J2019" s="95"/>
    </row>
    <row r="2020" spans="1:10" ht="15" x14ac:dyDescent="0.2">
      <c r="A2020" s="75" t="s">
        <v>1370</v>
      </c>
      <c r="B2020" s="17" t="s">
        <v>11</v>
      </c>
      <c r="C2020" s="75" t="s">
        <v>12</v>
      </c>
      <c r="D2020" s="75" t="s">
        <v>2</v>
      </c>
      <c r="E2020" s="124" t="s">
        <v>779</v>
      </c>
      <c r="F2020" s="124"/>
      <c r="G2020" s="76" t="s">
        <v>3</v>
      </c>
      <c r="H2020" s="17" t="s">
        <v>4</v>
      </c>
      <c r="I2020" s="17" t="s">
        <v>13</v>
      </c>
      <c r="J2020" s="17" t="s">
        <v>17</v>
      </c>
    </row>
    <row r="2021" spans="1:10" ht="25.5" x14ac:dyDescent="0.2">
      <c r="A2021" s="19" t="s">
        <v>780</v>
      </c>
      <c r="B2021" s="20" t="s">
        <v>148</v>
      </c>
      <c r="C2021" s="19" t="s">
        <v>15</v>
      </c>
      <c r="D2021" s="19" t="s">
        <v>149</v>
      </c>
      <c r="E2021" s="125">
        <v>5.07</v>
      </c>
      <c r="F2021" s="125"/>
      <c r="G2021" s="21" t="s">
        <v>50</v>
      </c>
      <c r="H2021" s="86">
        <v>1</v>
      </c>
      <c r="I2021" s="82">
        <v>108.81</v>
      </c>
      <c r="J2021" s="82">
        <v>108.81</v>
      </c>
    </row>
    <row r="2022" spans="1:10" ht="38.25" x14ac:dyDescent="0.2">
      <c r="A2022" s="87" t="s">
        <v>781</v>
      </c>
      <c r="B2022" s="88" t="s">
        <v>905</v>
      </c>
      <c r="C2022" s="87" t="s">
        <v>15</v>
      </c>
      <c r="D2022" s="87" t="s">
        <v>906</v>
      </c>
      <c r="E2022" s="126" t="s">
        <v>794</v>
      </c>
      <c r="F2022" s="126"/>
      <c r="G2022" s="89" t="s">
        <v>50</v>
      </c>
      <c r="H2022" s="90">
        <v>1</v>
      </c>
      <c r="I2022" s="91">
        <v>97.67</v>
      </c>
      <c r="J2022" s="91">
        <v>97.67</v>
      </c>
    </row>
    <row r="2023" spans="1:10" ht="38.25" x14ac:dyDescent="0.2">
      <c r="A2023" s="87" t="s">
        <v>781</v>
      </c>
      <c r="B2023" s="88" t="s">
        <v>816</v>
      </c>
      <c r="C2023" s="87" t="s">
        <v>15</v>
      </c>
      <c r="D2023" s="87" t="s">
        <v>817</v>
      </c>
      <c r="E2023" s="126" t="s">
        <v>784</v>
      </c>
      <c r="F2023" s="126"/>
      <c r="G2023" s="89" t="s">
        <v>785</v>
      </c>
      <c r="H2023" s="90">
        <v>0.6</v>
      </c>
      <c r="I2023" s="91">
        <v>18.57</v>
      </c>
      <c r="J2023" s="91">
        <v>11.14</v>
      </c>
    </row>
    <row r="2024" spans="1:10" ht="38.25" x14ac:dyDescent="0.2">
      <c r="A2024" s="92"/>
      <c r="B2024" s="92"/>
      <c r="C2024" s="92"/>
      <c r="D2024" s="92"/>
      <c r="E2024" s="92" t="s">
        <v>801</v>
      </c>
      <c r="F2024" s="93">
        <v>11.14</v>
      </c>
      <c r="G2024" s="92" t="s">
        <v>802</v>
      </c>
      <c r="H2024" s="93">
        <v>0</v>
      </c>
      <c r="I2024" s="92" t="s">
        <v>803</v>
      </c>
      <c r="J2024" s="93">
        <v>11.14</v>
      </c>
    </row>
    <row r="2025" spans="1:10" ht="38.25" x14ac:dyDescent="0.2">
      <c r="A2025" s="92"/>
      <c r="B2025" s="92"/>
      <c r="C2025" s="92"/>
      <c r="D2025" s="92"/>
      <c r="E2025" s="92" t="s">
        <v>804</v>
      </c>
      <c r="F2025" s="93">
        <v>31.35</v>
      </c>
      <c r="G2025" s="92"/>
      <c r="H2025" s="127" t="s">
        <v>805</v>
      </c>
      <c r="I2025" s="127"/>
      <c r="J2025" s="93">
        <v>140.16</v>
      </c>
    </row>
    <row r="2026" spans="1:10" ht="15" thickBot="1" x14ac:dyDescent="0.25">
      <c r="A2026" s="77"/>
      <c r="B2026" s="77"/>
      <c r="C2026" s="77"/>
      <c r="D2026" s="77"/>
      <c r="E2026" s="77"/>
      <c r="F2026" s="77"/>
      <c r="G2026" s="77" t="s">
        <v>806</v>
      </c>
      <c r="H2026" s="94">
        <v>0.77</v>
      </c>
      <c r="I2026" s="77" t="s">
        <v>807</v>
      </c>
      <c r="J2026" s="78">
        <v>107.92</v>
      </c>
    </row>
    <row r="2027" spans="1:10" ht="15" thickTop="1" x14ac:dyDescent="0.2">
      <c r="A2027" s="95"/>
      <c r="B2027" s="95"/>
      <c r="C2027" s="95"/>
      <c r="D2027" s="95"/>
      <c r="E2027" s="95"/>
      <c r="F2027" s="95"/>
      <c r="G2027" s="95"/>
      <c r="H2027" s="95"/>
      <c r="I2027" s="95"/>
      <c r="J2027" s="95"/>
    </row>
    <row r="2028" spans="1:10" x14ac:dyDescent="0.2">
      <c r="A2028" s="18" t="s">
        <v>569</v>
      </c>
      <c r="B2028" s="18"/>
      <c r="C2028" s="18"/>
      <c r="D2028" s="18" t="s">
        <v>1371</v>
      </c>
      <c r="E2028" s="18"/>
      <c r="F2028" s="122"/>
      <c r="G2028" s="122"/>
      <c r="H2028" s="39"/>
      <c r="I2028" s="18"/>
      <c r="J2028" s="80">
        <v>12432.07</v>
      </c>
    </row>
    <row r="2029" spans="1:10" ht="15" x14ac:dyDescent="0.2">
      <c r="A2029" s="75" t="s">
        <v>665</v>
      </c>
      <c r="B2029" s="17" t="s">
        <v>11</v>
      </c>
      <c r="C2029" s="75" t="s">
        <v>12</v>
      </c>
      <c r="D2029" s="75" t="s">
        <v>2</v>
      </c>
      <c r="E2029" s="124" t="s">
        <v>779</v>
      </c>
      <c r="F2029" s="124"/>
      <c r="G2029" s="76" t="s">
        <v>3</v>
      </c>
      <c r="H2029" s="17" t="s">
        <v>4</v>
      </c>
      <c r="I2029" s="17" t="s">
        <v>13</v>
      </c>
      <c r="J2029" s="17" t="s">
        <v>17</v>
      </c>
    </row>
    <row r="2030" spans="1:10" x14ac:dyDescent="0.2">
      <c r="A2030" s="19" t="s">
        <v>781</v>
      </c>
      <c r="B2030" s="20" t="s">
        <v>1372</v>
      </c>
      <c r="C2030" s="19" t="s">
        <v>31</v>
      </c>
      <c r="D2030" s="19" t="s">
        <v>1373</v>
      </c>
      <c r="E2030" s="125" t="s">
        <v>794</v>
      </c>
      <c r="F2030" s="125"/>
      <c r="G2030" s="21" t="s">
        <v>134</v>
      </c>
      <c r="H2030" s="86">
        <v>1</v>
      </c>
      <c r="I2030" s="82">
        <v>10</v>
      </c>
      <c r="J2030" s="82">
        <v>10</v>
      </c>
    </row>
    <row r="2031" spans="1:10" ht="38.25" x14ac:dyDescent="0.2">
      <c r="A2031" s="92"/>
      <c r="B2031" s="92"/>
      <c r="C2031" s="92"/>
      <c r="D2031" s="92"/>
      <c r="E2031" s="92" t="s">
        <v>801</v>
      </c>
      <c r="F2031" s="93">
        <v>0</v>
      </c>
      <c r="G2031" s="92" t="s">
        <v>802</v>
      </c>
      <c r="H2031" s="93">
        <v>0</v>
      </c>
      <c r="I2031" s="92" t="s">
        <v>803</v>
      </c>
      <c r="J2031" s="93">
        <v>0</v>
      </c>
    </row>
    <row r="2032" spans="1:10" ht="38.25" x14ac:dyDescent="0.2">
      <c r="A2032" s="92"/>
      <c r="B2032" s="92"/>
      <c r="C2032" s="92"/>
      <c r="D2032" s="92"/>
      <c r="E2032" s="92" t="s">
        <v>804</v>
      </c>
      <c r="F2032" s="93">
        <v>2.88</v>
      </c>
      <c r="G2032" s="92"/>
      <c r="H2032" s="127" t="s">
        <v>805</v>
      </c>
      <c r="I2032" s="127"/>
      <c r="J2032" s="93">
        <v>12.88</v>
      </c>
    </row>
    <row r="2033" spans="1:10" ht="15" thickBot="1" x14ac:dyDescent="0.25">
      <c r="A2033" s="77"/>
      <c r="B2033" s="77"/>
      <c r="C2033" s="77"/>
      <c r="D2033" s="77"/>
      <c r="E2033" s="77"/>
      <c r="F2033" s="77"/>
      <c r="G2033" s="77" t="s">
        <v>806</v>
      </c>
      <c r="H2033" s="94">
        <v>373.92</v>
      </c>
      <c r="I2033" s="77" t="s">
        <v>807</v>
      </c>
      <c r="J2033" s="78">
        <v>4816.08</v>
      </c>
    </row>
    <row r="2034" spans="1:10" ht="15" thickTop="1" x14ac:dyDescent="0.2">
      <c r="A2034" s="95"/>
      <c r="B2034" s="95"/>
      <c r="C2034" s="95"/>
      <c r="D2034" s="95"/>
      <c r="E2034" s="95"/>
      <c r="F2034" s="95"/>
      <c r="G2034" s="95"/>
      <c r="H2034" s="95"/>
      <c r="I2034" s="95"/>
      <c r="J2034" s="95"/>
    </row>
    <row r="2035" spans="1:10" ht="15" x14ac:dyDescent="0.2">
      <c r="A2035" s="75" t="s">
        <v>1374</v>
      </c>
      <c r="B2035" s="17" t="s">
        <v>11</v>
      </c>
      <c r="C2035" s="75" t="s">
        <v>12</v>
      </c>
      <c r="D2035" s="75" t="s">
        <v>2</v>
      </c>
      <c r="E2035" s="124" t="s">
        <v>779</v>
      </c>
      <c r="F2035" s="124"/>
      <c r="G2035" s="76" t="s">
        <v>3</v>
      </c>
      <c r="H2035" s="17" t="s">
        <v>4</v>
      </c>
      <c r="I2035" s="17" t="s">
        <v>13</v>
      </c>
      <c r="J2035" s="17" t="s">
        <v>17</v>
      </c>
    </row>
    <row r="2036" spans="1:10" ht="25.5" x14ac:dyDescent="0.2">
      <c r="A2036" s="19" t="s">
        <v>781</v>
      </c>
      <c r="B2036" s="20" t="s">
        <v>1393</v>
      </c>
      <c r="C2036" s="19" t="s">
        <v>1394</v>
      </c>
      <c r="D2036" s="19" t="s">
        <v>1395</v>
      </c>
      <c r="E2036" s="125" t="s">
        <v>794</v>
      </c>
      <c r="F2036" s="125"/>
      <c r="G2036" s="21" t="s">
        <v>1433</v>
      </c>
      <c r="H2036" s="86">
        <v>1</v>
      </c>
      <c r="I2036" s="82">
        <v>10.26</v>
      </c>
      <c r="J2036" s="82">
        <v>10.26</v>
      </c>
    </row>
    <row r="2037" spans="1:10" ht="38.25" x14ac:dyDescent="0.2">
      <c r="A2037" s="92"/>
      <c r="B2037" s="92"/>
      <c r="C2037" s="92"/>
      <c r="D2037" s="92"/>
      <c r="E2037" s="92" t="s">
        <v>801</v>
      </c>
      <c r="F2037" s="93">
        <v>0</v>
      </c>
      <c r="G2037" s="92" t="s">
        <v>802</v>
      </c>
      <c r="H2037" s="93">
        <v>0</v>
      </c>
      <c r="I2037" s="92" t="s">
        <v>803</v>
      </c>
      <c r="J2037" s="93">
        <v>0</v>
      </c>
    </row>
    <row r="2038" spans="1:10" ht="38.25" x14ac:dyDescent="0.2">
      <c r="A2038" s="92"/>
      <c r="B2038" s="92"/>
      <c r="C2038" s="92"/>
      <c r="D2038" s="92"/>
      <c r="E2038" s="92" t="s">
        <v>804</v>
      </c>
      <c r="F2038" s="93">
        <v>2.95</v>
      </c>
      <c r="G2038" s="92"/>
      <c r="H2038" s="127" t="s">
        <v>805</v>
      </c>
      <c r="I2038" s="127"/>
      <c r="J2038" s="93">
        <v>13.21</v>
      </c>
    </row>
    <row r="2039" spans="1:10" ht="15" thickBot="1" x14ac:dyDescent="0.25">
      <c r="A2039" s="77"/>
      <c r="B2039" s="77"/>
      <c r="C2039" s="77"/>
      <c r="D2039" s="77"/>
      <c r="E2039" s="77"/>
      <c r="F2039" s="77"/>
      <c r="G2039" s="77" t="s">
        <v>806</v>
      </c>
      <c r="H2039" s="94">
        <v>97.55</v>
      </c>
      <c r="I2039" s="77" t="s">
        <v>807</v>
      </c>
      <c r="J2039" s="78">
        <v>1288.6300000000001</v>
      </c>
    </row>
    <row r="2040" spans="1:10" ht="15" thickTop="1" x14ac:dyDescent="0.2">
      <c r="A2040" s="95"/>
      <c r="B2040" s="95"/>
      <c r="C2040" s="95"/>
      <c r="D2040" s="95"/>
      <c r="E2040" s="95"/>
      <c r="F2040" s="95"/>
      <c r="G2040" s="95"/>
      <c r="H2040" s="95"/>
      <c r="I2040" s="95"/>
      <c r="J2040" s="95"/>
    </row>
    <row r="2041" spans="1:10" ht="15" x14ac:dyDescent="0.2">
      <c r="A2041" s="75" t="s">
        <v>1377</v>
      </c>
      <c r="B2041" s="17" t="s">
        <v>11</v>
      </c>
      <c r="C2041" s="75" t="s">
        <v>12</v>
      </c>
      <c r="D2041" s="75" t="s">
        <v>2</v>
      </c>
      <c r="E2041" s="124" t="s">
        <v>779</v>
      </c>
      <c r="F2041" s="124"/>
      <c r="G2041" s="76" t="s">
        <v>3</v>
      </c>
      <c r="H2041" s="17" t="s">
        <v>4</v>
      </c>
      <c r="I2041" s="17" t="s">
        <v>13</v>
      </c>
      <c r="J2041" s="17" t="s">
        <v>17</v>
      </c>
    </row>
    <row r="2042" spans="1:10" ht="25.5" x14ac:dyDescent="0.2">
      <c r="A2042" s="19" t="s">
        <v>781</v>
      </c>
      <c r="B2042" s="20" t="s">
        <v>1375</v>
      </c>
      <c r="C2042" s="19" t="s">
        <v>31</v>
      </c>
      <c r="D2042" s="19" t="s">
        <v>1376</v>
      </c>
      <c r="E2042" s="125" t="s">
        <v>794</v>
      </c>
      <c r="F2042" s="125"/>
      <c r="G2042" s="21" t="s">
        <v>134</v>
      </c>
      <c r="H2042" s="86">
        <v>1</v>
      </c>
      <c r="I2042" s="82">
        <v>8.98</v>
      </c>
      <c r="J2042" s="82">
        <v>8.98</v>
      </c>
    </row>
    <row r="2043" spans="1:10" ht="38.25" x14ac:dyDescent="0.2">
      <c r="A2043" s="92"/>
      <c r="B2043" s="92"/>
      <c r="C2043" s="92"/>
      <c r="D2043" s="92"/>
      <c r="E2043" s="92" t="s">
        <v>801</v>
      </c>
      <c r="F2043" s="93">
        <v>0</v>
      </c>
      <c r="G2043" s="92" t="s">
        <v>802</v>
      </c>
      <c r="H2043" s="93">
        <v>0</v>
      </c>
      <c r="I2043" s="92" t="s">
        <v>803</v>
      </c>
      <c r="J2043" s="93">
        <v>0</v>
      </c>
    </row>
    <row r="2044" spans="1:10" ht="38.25" x14ac:dyDescent="0.2">
      <c r="A2044" s="92"/>
      <c r="B2044" s="92"/>
      <c r="C2044" s="92"/>
      <c r="D2044" s="92"/>
      <c r="E2044" s="92" t="s">
        <v>804</v>
      </c>
      <c r="F2044" s="93">
        <v>2.58</v>
      </c>
      <c r="G2044" s="92"/>
      <c r="H2044" s="127" t="s">
        <v>805</v>
      </c>
      <c r="I2044" s="127"/>
      <c r="J2044" s="93">
        <v>11.56</v>
      </c>
    </row>
    <row r="2045" spans="1:10" ht="15" thickBot="1" x14ac:dyDescent="0.25">
      <c r="A2045" s="77"/>
      <c r="B2045" s="77"/>
      <c r="C2045" s="77"/>
      <c r="D2045" s="77"/>
      <c r="E2045" s="77"/>
      <c r="F2045" s="77"/>
      <c r="G2045" s="77" t="s">
        <v>806</v>
      </c>
      <c r="H2045" s="94">
        <v>144</v>
      </c>
      <c r="I2045" s="77" t="s">
        <v>807</v>
      </c>
      <c r="J2045" s="78">
        <v>1664.64</v>
      </c>
    </row>
    <row r="2046" spans="1:10" ht="15" thickTop="1" x14ac:dyDescent="0.2">
      <c r="A2046" s="95"/>
      <c r="B2046" s="95"/>
      <c r="C2046" s="95"/>
      <c r="D2046" s="95"/>
      <c r="E2046" s="95"/>
      <c r="F2046" s="95"/>
      <c r="G2046" s="95"/>
      <c r="H2046" s="95"/>
      <c r="I2046" s="95"/>
      <c r="J2046" s="95"/>
    </row>
    <row r="2047" spans="1:10" ht="15" x14ac:dyDescent="0.2">
      <c r="A2047" s="75" t="s">
        <v>1380</v>
      </c>
      <c r="B2047" s="17" t="s">
        <v>11</v>
      </c>
      <c r="C2047" s="75" t="s">
        <v>12</v>
      </c>
      <c r="D2047" s="75" t="s">
        <v>2</v>
      </c>
      <c r="E2047" s="124" t="s">
        <v>779</v>
      </c>
      <c r="F2047" s="124"/>
      <c r="G2047" s="76" t="s">
        <v>3</v>
      </c>
      <c r="H2047" s="17" t="s">
        <v>4</v>
      </c>
      <c r="I2047" s="17" t="s">
        <v>13</v>
      </c>
      <c r="J2047" s="17" t="s">
        <v>17</v>
      </c>
    </row>
    <row r="2048" spans="1:10" ht="25.5" x14ac:dyDescent="0.2">
      <c r="A2048" s="19" t="s">
        <v>780</v>
      </c>
      <c r="B2048" s="20" t="s">
        <v>1378</v>
      </c>
      <c r="C2048" s="19" t="s">
        <v>193</v>
      </c>
      <c r="D2048" s="19" t="s">
        <v>1379</v>
      </c>
      <c r="E2048" s="125">
        <v>22.06</v>
      </c>
      <c r="F2048" s="125"/>
      <c r="G2048" s="21" t="s">
        <v>5</v>
      </c>
      <c r="H2048" s="86">
        <v>1</v>
      </c>
      <c r="I2048" s="82">
        <v>142.1</v>
      </c>
      <c r="J2048" s="82">
        <v>142.1</v>
      </c>
    </row>
    <row r="2049" spans="1:10" ht="38.25" x14ac:dyDescent="0.2">
      <c r="A2049" s="87" t="s">
        <v>781</v>
      </c>
      <c r="B2049" s="88" t="s">
        <v>808</v>
      </c>
      <c r="C2049" s="87" t="s">
        <v>15</v>
      </c>
      <c r="D2049" s="87" t="s">
        <v>809</v>
      </c>
      <c r="E2049" s="126" t="s">
        <v>784</v>
      </c>
      <c r="F2049" s="126"/>
      <c r="G2049" s="89" t="s">
        <v>785</v>
      </c>
      <c r="H2049" s="90">
        <v>2</v>
      </c>
      <c r="I2049" s="91">
        <v>18.57</v>
      </c>
      <c r="J2049" s="91">
        <v>37.14</v>
      </c>
    </row>
    <row r="2050" spans="1:10" ht="38.25" x14ac:dyDescent="0.2">
      <c r="A2050" s="87" t="s">
        <v>781</v>
      </c>
      <c r="B2050" s="88" t="s">
        <v>790</v>
      </c>
      <c r="C2050" s="87" t="s">
        <v>15</v>
      </c>
      <c r="D2050" s="87" t="s">
        <v>791</v>
      </c>
      <c r="E2050" s="126" t="s">
        <v>784</v>
      </c>
      <c r="F2050" s="126"/>
      <c r="G2050" s="89" t="s">
        <v>785</v>
      </c>
      <c r="H2050" s="90">
        <v>1</v>
      </c>
      <c r="I2050" s="91">
        <v>22.61</v>
      </c>
      <c r="J2050" s="91">
        <v>22.61</v>
      </c>
    </row>
    <row r="2051" spans="1:10" ht="38.25" x14ac:dyDescent="0.2">
      <c r="A2051" s="87" t="s">
        <v>781</v>
      </c>
      <c r="B2051" s="88" t="s">
        <v>972</v>
      </c>
      <c r="C2051" s="87" t="s">
        <v>15</v>
      </c>
      <c r="D2051" s="87" t="s">
        <v>973</v>
      </c>
      <c r="E2051" s="126" t="s">
        <v>784</v>
      </c>
      <c r="F2051" s="126"/>
      <c r="G2051" s="89" t="s">
        <v>785</v>
      </c>
      <c r="H2051" s="90">
        <v>2</v>
      </c>
      <c r="I2051" s="91">
        <v>29.49</v>
      </c>
      <c r="J2051" s="91">
        <v>58.98</v>
      </c>
    </row>
    <row r="2052" spans="1:10" ht="38.25" x14ac:dyDescent="0.2">
      <c r="A2052" s="87" t="s">
        <v>781</v>
      </c>
      <c r="B2052" s="88" t="s">
        <v>1438</v>
      </c>
      <c r="C2052" s="87" t="s">
        <v>15</v>
      </c>
      <c r="D2052" s="87" t="s">
        <v>1439</v>
      </c>
      <c r="E2052" s="126" t="s">
        <v>794</v>
      </c>
      <c r="F2052" s="126"/>
      <c r="G2052" s="89" t="s">
        <v>32</v>
      </c>
      <c r="H2052" s="90">
        <v>2</v>
      </c>
      <c r="I2052" s="91">
        <v>7.65</v>
      </c>
      <c r="J2052" s="91">
        <v>15.3</v>
      </c>
    </row>
    <row r="2053" spans="1:10" ht="38.25" x14ac:dyDescent="0.2">
      <c r="A2053" s="87" t="s">
        <v>781</v>
      </c>
      <c r="B2053" s="88" t="s">
        <v>1440</v>
      </c>
      <c r="C2053" s="87" t="s">
        <v>15</v>
      </c>
      <c r="D2053" s="87" t="s">
        <v>1441</v>
      </c>
      <c r="E2053" s="126" t="s">
        <v>794</v>
      </c>
      <c r="F2053" s="126"/>
      <c r="G2053" s="89" t="s">
        <v>134</v>
      </c>
      <c r="H2053" s="90">
        <v>0.1</v>
      </c>
      <c r="I2053" s="91">
        <v>70.7</v>
      </c>
      <c r="J2053" s="91">
        <v>7.07</v>
      </c>
    </row>
    <row r="2054" spans="1:10" ht="38.25" x14ac:dyDescent="0.2">
      <c r="A2054" s="87" t="s">
        <v>781</v>
      </c>
      <c r="B2054" s="88" t="s">
        <v>1442</v>
      </c>
      <c r="C2054" s="87" t="s">
        <v>15</v>
      </c>
      <c r="D2054" s="87" t="s">
        <v>1443</v>
      </c>
      <c r="E2054" s="126" t="s">
        <v>794</v>
      </c>
      <c r="F2054" s="126"/>
      <c r="G2054" s="89" t="s">
        <v>32</v>
      </c>
      <c r="H2054" s="90">
        <v>20</v>
      </c>
      <c r="I2054" s="91">
        <v>0.05</v>
      </c>
      <c r="J2054" s="91">
        <v>1</v>
      </c>
    </row>
    <row r="2055" spans="1:10" ht="38.25" x14ac:dyDescent="0.2">
      <c r="A2055" s="92"/>
      <c r="B2055" s="92"/>
      <c r="C2055" s="92"/>
      <c r="D2055" s="92"/>
      <c r="E2055" s="92" t="s">
        <v>801</v>
      </c>
      <c r="F2055" s="93">
        <v>118.73</v>
      </c>
      <c r="G2055" s="92" t="s">
        <v>802</v>
      </c>
      <c r="H2055" s="93">
        <v>0</v>
      </c>
      <c r="I2055" s="92" t="s">
        <v>803</v>
      </c>
      <c r="J2055" s="93">
        <v>118.73</v>
      </c>
    </row>
    <row r="2056" spans="1:10" ht="38.25" x14ac:dyDescent="0.2">
      <c r="A2056" s="92"/>
      <c r="B2056" s="92"/>
      <c r="C2056" s="92"/>
      <c r="D2056" s="92"/>
      <c r="E2056" s="92" t="s">
        <v>804</v>
      </c>
      <c r="F2056" s="93">
        <v>40.950000000000003</v>
      </c>
      <c r="G2056" s="92"/>
      <c r="H2056" s="127" t="s">
        <v>805</v>
      </c>
      <c r="I2056" s="127"/>
      <c r="J2056" s="93">
        <v>183.05</v>
      </c>
    </row>
    <row r="2057" spans="1:10" ht="15" thickBot="1" x14ac:dyDescent="0.25">
      <c r="A2057" s="77"/>
      <c r="B2057" s="77"/>
      <c r="C2057" s="77"/>
      <c r="D2057" s="77"/>
      <c r="E2057" s="77"/>
      <c r="F2057" s="77"/>
      <c r="G2057" s="77" t="s">
        <v>806</v>
      </c>
      <c r="H2057" s="94">
        <v>15</v>
      </c>
      <c r="I2057" s="77" t="s">
        <v>807</v>
      </c>
      <c r="J2057" s="78">
        <v>2745.75</v>
      </c>
    </row>
    <row r="2058" spans="1:10" ht="15" thickTop="1" x14ac:dyDescent="0.2">
      <c r="A2058" s="95"/>
      <c r="B2058" s="95"/>
      <c r="C2058" s="95"/>
      <c r="D2058" s="95"/>
      <c r="E2058" s="95"/>
      <c r="F2058" s="95"/>
      <c r="G2058" s="95"/>
      <c r="H2058" s="95"/>
      <c r="I2058" s="95"/>
      <c r="J2058" s="95"/>
    </row>
    <row r="2059" spans="1:10" ht="15" x14ac:dyDescent="0.2">
      <c r="A2059" s="75" t="s">
        <v>1381</v>
      </c>
      <c r="B2059" s="17" t="s">
        <v>11</v>
      </c>
      <c r="C2059" s="75" t="s">
        <v>12</v>
      </c>
      <c r="D2059" s="75" t="s">
        <v>2</v>
      </c>
      <c r="E2059" s="124" t="s">
        <v>779</v>
      </c>
      <c r="F2059" s="124"/>
      <c r="G2059" s="76" t="s">
        <v>3</v>
      </c>
      <c r="H2059" s="17" t="s">
        <v>4</v>
      </c>
      <c r="I2059" s="17" t="s">
        <v>13</v>
      </c>
      <c r="J2059" s="17" t="s">
        <v>17</v>
      </c>
    </row>
    <row r="2060" spans="1:10" ht="25.5" x14ac:dyDescent="0.2">
      <c r="A2060" s="19" t="s">
        <v>780</v>
      </c>
      <c r="B2060" s="20" t="s">
        <v>525</v>
      </c>
      <c r="C2060" s="19" t="s">
        <v>15</v>
      </c>
      <c r="D2060" s="19" t="s">
        <v>526</v>
      </c>
      <c r="E2060" s="125">
        <v>33.11</v>
      </c>
      <c r="F2060" s="125"/>
      <c r="G2060" s="21" t="s">
        <v>5</v>
      </c>
      <c r="H2060" s="86">
        <v>1</v>
      </c>
      <c r="I2060" s="82">
        <v>45.1</v>
      </c>
      <c r="J2060" s="82">
        <v>45.1</v>
      </c>
    </row>
    <row r="2061" spans="1:10" ht="38.25" x14ac:dyDescent="0.2">
      <c r="A2061" s="87" t="s">
        <v>781</v>
      </c>
      <c r="B2061" s="88" t="s">
        <v>786</v>
      </c>
      <c r="C2061" s="87" t="s">
        <v>15</v>
      </c>
      <c r="D2061" s="87" t="s">
        <v>787</v>
      </c>
      <c r="E2061" s="126" t="s">
        <v>784</v>
      </c>
      <c r="F2061" s="126"/>
      <c r="G2061" s="89" t="s">
        <v>785</v>
      </c>
      <c r="H2061" s="90">
        <v>0.6</v>
      </c>
      <c r="I2061" s="91">
        <v>27.08</v>
      </c>
      <c r="J2061" s="91">
        <v>16.239999999999998</v>
      </c>
    </row>
    <row r="2062" spans="1:10" ht="38.25" x14ac:dyDescent="0.2">
      <c r="A2062" s="87" t="s">
        <v>781</v>
      </c>
      <c r="B2062" s="88" t="s">
        <v>788</v>
      </c>
      <c r="C2062" s="87" t="s">
        <v>15</v>
      </c>
      <c r="D2062" s="87" t="s">
        <v>789</v>
      </c>
      <c r="E2062" s="126" t="s">
        <v>784</v>
      </c>
      <c r="F2062" s="126"/>
      <c r="G2062" s="89" t="s">
        <v>785</v>
      </c>
      <c r="H2062" s="90">
        <v>0.6</v>
      </c>
      <c r="I2062" s="91">
        <v>18.57</v>
      </c>
      <c r="J2062" s="91">
        <v>11.14</v>
      </c>
    </row>
    <row r="2063" spans="1:10" ht="38.25" x14ac:dyDescent="0.2">
      <c r="A2063" s="87" t="s">
        <v>781</v>
      </c>
      <c r="B2063" s="88" t="s">
        <v>1334</v>
      </c>
      <c r="C2063" s="87" t="s">
        <v>15</v>
      </c>
      <c r="D2063" s="87" t="s">
        <v>1335</v>
      </c>
      <c r="E2063" s="126" t="s">
        <v>794</v>
      </c>
      <c r="F2063" s="126"/>
      <c r="G2063" s="89" t="s">
        <v>720</v>
      </c>
      <c r="H2063" s="90">
        <v>0.2</v>
      </c>
      <c r="I2063" s="91">
        <v>39.130000000000003</v>
      </c>
      <c r="J2063" s="91">
        <v>7.82</v>
      </c>
    </row>
    <row r="2064" spans="1:10" ht="38.25" x14ac:dyDescent="0.2">
      <c r="A2064" s="87" t="s">
        <v>781</v>
      </c>
      <c r="B2064" s="88" t="s">
        <v>1336</v>
      </c>
      <c r="C2064" s="87" t="s">
        <v>15</v>
      </c>
      <c r="D2064" s="87" t="s">
        <v>1337</v>
      </c>
      <c r="E2064" s="126" t="s">
        <v>794</v>
      </c>
      <c r="F2064" s="126"/>
      <c r="G2064" s="89" t="s">
        <v>720</v>
      </c>
      <c r="H2064" s="90">
        <v>0.25</v>
      </c>
      <c r="I2064" s="91">
        <v>37.17</v>
      </c>
      <c r="J2064" s="91">
        <v>9.2899999999999991</v>
      </c>
    </row>
    <row r="2065" spans="1:10" ht="38.25" x14ac:dyDescent="0.2">
      <c r="A2065" s="87" t="s">
        <v>781</v>
      </c>
      <c r="B2065" s="88" t="s">
        <v>991</v>
      </c>
      <c r="C2065" s="87" t="s">
        <v>15</v>
      </c>
      <c r="D2065" s="87" t="s">
        <v>992</v>
      </c>
      <c r="E2065" s="126" t="s">
        <v>794</v>
      </c>
      <c r="F2065" s="126"/>
      <c r="G2065" s="89" t="s">
        <v>32</v>
      </c>
      <c r="H2065" s="90">
        <v>0.3</v>
      </c>
      <c r="I2065" s="91">
        <v>2.04</v>
      </c>
      <c r="J2065" s="91">
        <v>0.61</v>
      </c>
    </row>
    <row r="2066" spans="1:10" ht="38.25" x14ac:dyDescent="0.2">
      <c r="A2066" s="92"/>
      <c r="B2066" s="92"/>
      <c r="C2066" s="92"/>
      <c r="D2066" s="92"/>
      <c r="E2066" s="92" t="s">
        <v>801</v>
      </c>
      <c r="F2066" s="93">
        <v>27.38</v>
      </c>
      <c r="G2066" s="92" t="s">
        <v>802</v>
      </c>
      <c r="H2066" s="93">
        <v>0</v>
      </c>
      <c r="I2066" s="92" t="s">
        <v>803</v>
      </c>
      <c r="J2066" s="93">
        <v>27.38</v>
      </c>
    </row>
    <row r="2067" spans="1:10" ht="38.25" x14ac:dyDescent="0.2">
      <c r="A2067" s="92"/>
      <c r="B2067" s="92"/>
      <c r="C2067" s="92"/>
      <c r="D2067" s="92"/>
      <c r="E2067" s="92" t="s">
        <v>804</v>
      </c>
      <c r="F2067" s="93">
        <v>12.99</v>
      </c>
      <c r="G2067" s="92"/>
      <c r="H2067" s="127" t="s">
        <v>805</v>
      </c>
      <c r="I2067" s="127"/>
      <c r="J2067" s="93">
        <v>58.09</v>
      </c>
    </row>
    <row r="2068" spans="1:10" ht="15" thickBot="1" x14ac:dyDescent="0.25">
      <c r="A2068" s="77"/>
      <c r="B2068" s="77"/>
      <c r="C2068" s="77"/>
      <c r="D2068" s="77"/>
      <c r="E2068" s="77"/>
      <c r="F2068" s="77"/>
      <c r="G2068" s="77" t="s">
        <v>806</v>
      </c>
      <c r="H2068" s="94">
        <v>33</v>
      </c>
      <c r="I2068" s="77" t="s">
        <v>807</v>
      </c>
      <c r="J2068" s="78">
        <v>1916.97</v>
      </c>
    </row>
    <row r="2069" spans="1:10" ht="15" thickTop="1" x14ac:dyDescent="0.2">
      <c r="A2069" s="95"/>
      <c r="B2069" s="95"/>
      <c r="C2069" s="95"/>
      <c r="D2069" s="95"/>
      <c r="E2069" s="95"/>
      <c r="F2069" s="95"/>
      <c r="G2069" s="95"/>
      <c r="H2069" s="95"/>
      <c r="I2069" s="95"/>
      <c r="J2069" s="95"/>
    </row>
    <row r="2070" spans="1:10" x14ac:dyDescent="0.2">
      <c r="A2070" s="18" t="s">
        <v>1386</v>
      </c>
      <c r="B2070" s="18"/>
      <c r="C2070" s="18"/>
      <c r="D2070" s="18" t="s">
        <v>1396</v>
      </c>
      <c r="E2070" s="18"/>
      <c r="F2070" s="122"/>
      <c r="G2070" s="122"/>
      <c r="H2070" s="39"/>
      <c r="I2070" s="18"/>
      <c r="J2070" s="80">
        <v>25159.52</v>
      </c>
    </row>
    <row r="2071" spans="1:10" ht="15" x14ac:dyDescent="0.2">
      <c r="A2071" s="75" t="s">
        <v>1388</v>
      </c>
      <c r="B2071" s="17" t="s">
        <v>11</v>
      </c>
      <c r="C2071" s="75" t="s">
        <v>12</v>
      </c>
      <c r="D2071" s="75" t="s">
        <v>2</v>
      </c>
      <c r="E2071" s="124" t="s">
        <v>779</v>
      </c>
      <c r="F2071" s="124"/>
      <c r="G2071" s="76" t="s">
        <v>3</v>
      </c>
      <c r="H2071" s="17" t="s">
        <v>4</v>
      </c>
      <c r="I2071" s="17" t="s">
        <v>13</v>
      </c>
      <c r="J2071" s="17" t="s">
        <v>17</v>
      </c>
    </row>
    <row r="2072" spans="1:10" ht="25.5" x14ac:dyDescent="0.2">
      <c r="A2072" s="19" t="s">
        <v>781</v>
      </c>
      <c r="B2072" s="20" t="s">
        <v>1397</v>
      </c>
      <c r="C2072" s="19" t="s">
        <v>31</v>
      </c>
      <c r="D2072" s="19" t="s">
        <v>1398</v>
      </c>
      <c r="E2072" s="125" t="s">
        <v>794</v>
      </c>
      <c r="F2072" s="125"/>
      <c r="G2072" s="21" t="s">
        <v>78</v>
      </c>
      <c r="H2072" s="86">
        <v>1</v>
      </c>
      <c r="I2072" s="82">
        <v>55.75</v>
      </c>
      <c r="J2072" s="82">
        <v>55.75</v>
      </c>
    </row>
    <row r="2073" spans="1:10" ht="38.25" x14ac:dyDescent="0.2">
      <c r="A2073" s="92"/>
      <c r="B2073" s="92"/>
      <c r="C2073" s="92"/>
      <c r="D2073" s="92"/>
      <c r="E2073" s="92" t="s">
        <v>801</v>
      </c>
      <c r="F2073" s="93">
        <v>0</v>
      </c>
      <c r="G2073" s="92" t="s">
        <v>802</v>
      </c>
      <c r="H2073" s="93">
        <v>0</v>
      </c>
      <c r="I2073" s="92" t="s">
        <v>803</v>
      </c>
      <c r="J2073" s="93">
        <v>0</v>
      </c>
    </row>
    <row r="2074" spans="1:10" ht="38.25" x14ac:dyDescent="0.2">
      <c r="A2074" s="92"/>
      <c r="B2074" s="92"/>
      <c r="C2074" s="92"/>
      <c r="D2074" s="92"/>
      <c r="E2074" s="92" t="s">
        <v>804</v>
      </c>
      <c r="F2074" s="93">
        <v>16.059999999999999</v>
      </c>
      <c r="G2074" s="92"/>
      <c r="H2074" s="127" t="s">
        <v>805</v>
      </c>
      <c r="I2074" s="127"/>
      <c r="J2074" s="93">
        <v>71.81</v>
      </c>
    </row>
    <row r="2075" spans="1:10" ht="15" thickBot="1" x14ac:dyDescent="0.25">
      <c r="A2075" s="77"/>
      <c r="B2075" s="77"/>
      <c r="C2075" s="77"/>
      <c r="D2075" s="77"/>
      <c r="E2075" s="77"/>
      <c r="F2075" s="77"/>
      <c r="G2075" s="77" t="s">
        <v>806</v>
      </c>
      <c r="H2075" s="94">
        <v>136.19999999999999</v>
      </c>
      <c r="I2075" s="77" t="s">
        <v>807</v>
      </c>
      <c r="J2075" s="78">
        <v>9780.52</v>
      </c>
    </row>
    <row r="2076" spans="1:10" ht="15" thickTop="1" x14ac:dyDescent="0.2">
      <c r="A2076" s="95"/>
      <c r="B2076" s="95"/>
      <c r="C2076" s="95"/>
      <c r="D2076" s="95"/>
      <c r="E2076" s="95"/>
      <c r="F2076" s="95"/>
      <c r="G2076" s="95"/>
      <c r="H2076" s="95"/>
      <c r="I2076" s="95"/>
      <c r="J2076" s="95"/>
    </row>
    <row r="2077" spans="1:10" ht="15" x14ac:dyDescent="0.2">
      <c r="A2077" s="75" t="s">
        <v>1389</v>
      </c>
      <c r="B2077" s="17" t="s">
        <v>11</v>
      </c>
      <c r="C2077" s="75" t="s">
        <v>12</v>
      </c>
      <c r="D2077" s="75" t="s">
        <v>2</v>
      </c>
      <c r="E2077" s="124" t="s">
        <v>779</v>
      </c>
      <c r="F2077" s="124"/>
      <c r="G2077" s="76" t="s">
        <v>3</v>
      </c>
      <c r="H2077" s="17" t="s">
        <v>4</v>
      </c>
      <c r="I2077" s="17" t="s">
        <v>13</v>
      </c>
      <c r="J2077" s="17" t="s">
        <v>17</v>
      </c>
    </row>
    <row r="2078" spans="1:10" ht="25.5" x14ac:dyDescent="0.2">
      <c r="A2078" s="19" t="s">
        <v>781</v>
      </c>
      <c r="B2078" s="20" t="s">
        <v>1384</v>
      </c>
      <c r="C2078" s="19" t="s">
        <v>31</v>
      </c>
      <c r="D2078" s="19" t="s">
        <v>1385</v>
      </c>
      <c r="E2078" s="125" t="s">
        <v>794</v>
      </c>
      <c r="F2078" s="125"/>
      <c r="G2078" s="21" t="s">
        <v>78</v>
      </c>
      <c r="H2078" s="86">
        <v>1</v>
      </c>
      <c r="I2078" s="82">
        <v>81.42</v>
      </c>
      <c r="J2078" s="82">
        <v>81.42</v>
      </c>
    </row>
    <row r="2079" spans="1:10" ht="38.25" x14ac:dyDescent="0.2">
      <c r="A2079" s="92"/>
      <c r="B2079" s="92"/>
      <c r="C2079" s="92"/>
      <c r="D2079" s="92"/>
      <c r="E2079" s="92" t="s">
        <v>801</v>
      </c>
      <c r="F2079" s="93">
        <v>0</v>
      </c>
      <c r="G2079" s="92" t="s">
        <v>802</v>
      </c>
      <c r="H2079" s="93">
        <v>0</v>
      </c>
      <c r="I2079" s="92" t="s">
        <v>803</v>
      </c>
      <c r="J2079" s="93">
        <v>0</v>
      </c>
    </row>
    <row r="2080" spans="1:10" ht="38.25" x14ac:dyDescent="0.2">
      <c r="A2080" s="92"/>
      <c r="B2080" s="92"/>
      <c r="C2080" s="92"/>
      <c r="D2080" s="92"/>
      <c r="E2080" s="92" t="s">
        <v>804</v>
      </c>
      <c r="F2080" s="93">
        <v>23.46</v>
      </c>
      <c r="G2080" s="92"/>
      <c r="H2080" s="127" t="s">
        <v>805</v>
      </c>
      <c r="I2080" s="127"/>
      <c r="J2080" s="93">
        <v>104.88</v>
      </c>
    </row>
    <row r="2081" spans="1:10" ht="15" thickBot="1" x14ac:dyDescent="0.25">
      <c r="A2081" s="77"/>
      <c r="B2081" s="77"/>
      <c r="C2081" s="77"/>
      <c r="D2081" s="77"/>
      <c r="E2081" s="77"/>
      <c r="F2081" s="77"/>
      <c r="G2081" s="77" t="s">
        <v>806</v>
      </c>
      <c r="H2081" s="94">
        <v>19.95</v>
      </c>
      <c r="I2081" s="77" t="s">
        <v>807</v>
      </c>
      <c r="J2081" s="78">
        <v>2092.35</v>
      </c>
    </row>
    <row r="2082" spans="1:10" ht="15" thickTop="1" x14ac:dyDescent="0.2">
      <c r="A2082" s="95"/>
      <c r="B2082" s="95"/>
      <c r="C2082" s="95"/>
      <c r="D2082" s="95"/>
      <c r="E2082" s="95"/>
      <c r="F2082" s="95"/>
      <c r="G2082" s="95"/>
      <c r="H2082" s="95"/>
      <c r="I2082" s="95"/>
      <c r="J2082" s="95"/>
    </row>
    <row r="2083" spans="1:10" ht="15" x14ac:dyDescent="0.2">
      <c r="A2083" s="75" t="s">
        <v>1392</v>
      </c>
      <c r="B2083" s="17" t="s">
        <v>11</v>
      </c>
      <c r="C2083" s="75" t="s">
        <v>12</v>
      </c>
      <c r="D2083" s="75" t="s">
        <v>2</v>
      </c>
      <c r="E2083" s="124" t="s">
        <v>779</v>
      </c>
      <c r="F2083" s="124"/>
      <c r="G2083" s="76" t="s">
        <v>3</v>
      </c>
      <c r="H2083" s="17" t="s">
        <v>4</v>
      </c>
      <c r="I2083" s="17" t="s">
        <v>13</v>
      </c>
      <c r="J2083" s="17" t="s">
        <v>17</v>
      </c>
    </row>
    <row r="2084" spans="1:10" ht="25.5" x14ac:dyDescent="0.2">
      <c r="A2084" s="19" t="s">
        <v>781</v>
      </c>
      <c r="B2084" s="20" t="s">
        <v>1382</v>
      </c>
      <c r="C2084" s="19" t="s">
        <v>31</v>
      </c>
      <c r="D2084" s="19" t="s">
        <v>1383</v>
      </c>
      <c r="E2084" s="125" t="s">
        <v>794</v>
      </c>
      <c r="F2084" s="125"/>
      <c r="G2084" s="21" t="s">
        <v>78</v>
      </c>
      <c r="H2084" s="86">
        <v>1</v>
      </c>
      <c r="I2084" s="82">
        <v>99.91</v>
      </c>
      <c r="J2084" s="82">
        <v>99.91</v>
      </c>
    </row>
    <row r="2085" spans="1:10" ht="38.25" x14ac:dyDescent="0.2">
      <c r="A2085" s="92"/>
      <c r="B2085" s="92"/>
      <c r="C2085" s="92"/>
      <c r="D2085" s="92"/>
      <c r="E2085" s="92" t="s">
        <v>801</v>
      </c>
      <c r="F2085" s="93">
        <v>0</v>
      </c>
      <c r="G2085" s="92" t="s">
        <v>802</v>
      </c>
      <c r="H2085" s="93">
        <v>0</v>
      </c>
      <c r="I2085" s="92" t="s">
        <v>803</v>
      </c>
      <c r="J2085" s="93">
        <v>0</v>
      </c>
    </row>
    <row r="2086" spans="1:10" ht="38.25" x14ac:dyDescent="0.2">
      <c r="A2086" s="92"/>
      <c r="B2086" s="92"/>
      <c r="C2086" s="92"/>
      <c r="D2086" s="92"/>
      <c r="E2086" s="92" t="s">
        <v>804</v>
      </c>
      <c r="F2086" s="93">
        <v>28.79</v>
      </c>
      <c r="G2086" s="92"/>
      <c r="H2086" s="127" t="s">
        <v>805</v>
      </c>
      <c r="I2086" s="127"/>
      <c r="J2086" s="93">
        <v>128.69999999999999</v>
      </c>
    </row>
    <row r="2087" spans="1:10" ht="15" thickBot="1" x14ac:dyDescent="0.25">
      <c r="A2087" s="77"/>
      <c r="B2087" s="77"/>
      <c r="C2087" s="77"/>
      <c r="D2087" s="77"/>
      <c r="E2087" s="77"/>
      <c r="F2087" s="77"/>
      <c r="G2087" s="77" t="s">
        <v>806</v>
      </c>
      <c r="H2087" s="94">
        <v>37.299999999999997</v>
      </c>
      <c r="I2087" s="77" t="s">
        <v>807</v>
      </c>
      <c r="J2087" s="78">
        <v>4800.51</v>
      </c>
    </row>
    <row r="2088" spans="1:10" ht="15" thickTop="1" x14ac:dyDescent="0.2">
      <c r="A2088" s="95"/>
      <c r="B2088" s="95"/>
      <c r="C2088" s="95"/>
      <c r="D2088" s="95"/>
      <c r="E2088" s="95"/>
      <c r="F2088" s="95"/>
      <c r="G2088" s="95"/>
      <c r="H2088" s="95"/>
      <c r="I2088" s="95"/>
      <c r="J2088" s="95"/>
    </row>
    <row r="2089" spans="1:10" ht="15" x14ac:dyDescent="0.2">
      <c r="A2089" s="75" t="s">
        <v>1399</v>
      </c>
      <c r="B2089" s="17" t="s">
        <v>11</v>
      </c>
      <c r="C2089" s="75" t="s">
        <v>12</v>
      </c>
      <c r="D2089" s="75" t="s">
        <v>2</v>
      </c>
      <c r="E2089" s="124" t="s">
        <v>779</v>
      </c>
      <c r="F2089" s="124"/>
      <c r="G2089" s="76" t="s">
        <v>3</v>
      </c>
      <c r="H2089" s="17" t="s">
        <v>4</v>
      </c>
      <c r="I2089" s="17" t="s">
        <v>13</v>
      </c>
      <c r="J2089" s="17" t="s">
        <v>17</v>
      </c>
    </row>
    <row r="2090" spans="1:10" ht="25.5" x14ac:dyDescent="0.2">
      <c r="A2090" s="19" t="s">
        <v>780</v>
      </c>
      <c r="B2090" s="20" t="s">
        <v>1378</v>
      </c>
      <c r="C2090" s="19" t="s">
        <v>193</v>
      </c>
      <c r="D2090" s="19" t="s">
        <v>1379</v>
      </c>
      <c r="E2090" s="125">
        <v>22.06</v>
      </c>
      <c r="F2090" s="125"/>
      <c r="G2090" s="21" t="s">
        <v>5</v>
      </c>
      <c r="H2090" s="86">
        <v>1</v>
      </c>
      <c r="I2090" s="82">
        <v>142.1</v>
      </c>
      <c r="J2090" s="82">
        <v>142.1</v>
      </c>
    </row>
    <row r="2091" spans="1:10" ht="38.25" x14ac:dyDescent="0.2">
      <c r="A2091" s="87" t="s">
        <v>781</v>
      </c>
      <c r="B2091" s="88" t="s">
        <v>808</v>
      </c>
      <c r="C2091" s="87" t="s">
        <v>15</v>
      </c>
      <c r="D2091" s="87" t="s">
        <v>809</v>
      </c>
      <c r="E2091" s="126" t="s">
        <v>784</v>
      </c>
      <c r="F2091" s="126"/>
      <c r="G2091" s="89" t="s">
        <v>785</v>
      </c>
      <c r="H2091" s="90">
        <v>2</v>
      </c>
      <c r="I2091" s="91">
        <v>18.57</v>
      </c>
      <c r="J2091" s="91">
        <v>37.14</v>
      </c>
    </row>
    <row r="2092" spans="1:10" ht="38.25" x14ac:dyDescent="0.2">
      <c r="A2092" s="87" t="s">
        <v>781</v>
      </c>
      <c r="B2092" s="88" t="s">
        <v>790</v>
      </c>
      <c r="C2092" s="87" t="s">
        <v>15</v>
      </c>
      <c r="D2092" s="87" t="s">
        <v>791</v>
      </c>
      <c r="E2092" s="126" t="s">
        <v>784</v>
      </c>
      <c r="F2092" s="126"/>
      <c r="G2092" s="89" t="s">
        <v>785</v>
      </c>
      <c r="H2092" s="90">
        <v>1</v>
      </c>
      <c r="I2092" s="91">
        <v>22.61</v>
      </c>
      <c r="J2092" s="91">
        <v>22.61</v>
      </c>
    </row>
    <row r="2093" spans="1:10" ht="38.25" x14ac:dyDescent="0.2">
      <c r="A2093" s="87" t="s">
        <v>781</v>
      </c>
      <c r="B2093" s="88" t="s">
        <v>972</v>
      </c>
      <c r="C2093" s="87" t="s">
        <v>15</v>
      </c>
      <c r="D2093" s="87" t="s">
        <v>973</v>
      </c>
      <c r="E2093" s="126" t="s">
        <v>784</v>
      </c>
      <c r="F2093" s="126"/>
      <c r="G2093" s="89" t="s">
        <v>785</v>
      </c>
      <c r="H2093" s="90">
        <v>2</v>
      </c>
      <c r="I2093" s="91">
        <v>29.49</v>
      </c>
      <c r="J2093" s="91">
        <v>58.98</v>
      </c>
    </row>
    <row r="2094" spans="1:10" ht="38.25" x14ac:dyDescent="0.2">
      <c r="A2094" s="87" t="s">
        <v>781</v>
      </c>
      <c r="B2094" s="88" t="s">
        <v>1438</v>
      </c>
      <c r="C2094" s="87" t="s">
        <v>15</v>
      </c>
      <c r="D2094" s="87" t="s">
        <v>1439</v>
      </c>
      <c r="E2094" s="126" t="s">
        <v>794</v>
      </c>
      <c r="F2094" s="126"/>
      <c r="G2094" s="89" t="s">
        <v>32</v>
      </c>
      <c r="H2094" s="90">
        <v>2</v>
      </c>
      <c r="I2094" s="91">
        <v>7.65</v>
      </c>
      <c r="J2094" s="91">
        <v>15.3</v>
      </c>
    </row>
    <row r="2095" spans="1:10" ht="38.25" x14ac:dyDescent="0.2">
      <c r="A2095" s="87" t="s">
        <v>781</v>
      </c>
      <c r="B2095" s="88" t="s">
        <v>1440</v>
      </c>
      <c r="C2095" s="87" t="s">
        <v>15</v>
      </c>
      <c r="D2095" s="87" t="s">
        <v>1441</v>
      </c>
      <c r="E2095" s="126" t="s">
        <v>794</v>
      </c>
      <c r="F2095" s="126"/>
      <c r="G2095" s="89" t="s">
        <v>134</v>
      </c>
      <c r="H2095" s="90">
        <v>0.1</v>
      </c>
      <c r="I2095" s="91">
        <v>70.7</v>
      </c>
      <c r="J2095" s="91">
        <v>7.07</v>
      </c>
    </row>
    <row r="2096" spans="1:10" ht="38.25" x14ac:dyDescent="0.2">
      <c r="A2096" s="87" t="s">
        <v>781</v>
      </c>
      <c r="B2096" s="88" t="s">
        <v>1442</v>
      </c>
      <c r="C2096" s="87" t="s">
        <v>15</v>
      </c>
      <c r="D2096" s="87" t="s">
        <v>1443</v>
      </c>
      <c r="E2096" s="126" t="s">
        <v>794</v>
      </c>
      <c r="F2096" s="126"/>
      <c r="G2096" s="89" t="s">
        <v>32</v>
      </c>
      <c r="H2096" s="90">
        <v>20</v>
      </c>
      <c r="I2096" s="91">
        <v>0.05</v>
      </c>
      <c r="J2096" s="91">
        <v>1</v>
      </c>
    </row>
    <row r="2097" spans="1:10" ht="38.25" x14ac:dyDescent="0.2">
      <c r="A2097" s="92"/>
      <c r="B2097" s="92"/>
      <c r="C2097" s="92"/>
      <c r="D2097" s="92"/>
      <c r="E2097" s="92" t="s">
        <v>801</v>
      </c>
      <c r="F2097" s="93">
        <v>118.73</v>
      </c>
      <c r="G2097" s="92" t="s">
        <v>802</v>
      </c>
      <c r="H2097" s="93">
        <v>0</v>
      </c>
      <c r="I2097" s="92" t="s">
        <v>803</v>
      </c>
      <c r="J2097" s="93">
        <v>118.73</v>
      </c>
    </row>
    <row r="2098" spans="1:10" ht="38.25" x14ac:dyDescent="0.2">
      <c r="A2098" s="92"/>
      <c r="B2098" s="92"/>
      <c r="C2098" s="92"/>
      <c r="D2098" s="92"/>
      <c r="E2098" s="92" t="s">
        <v>804</v>
      </c>
      <c r="F2098" s="93">
        <v>40.950000000000003</v>
      </c>
      <c r="G2098" s="92"/>
      <c r="H2098" s="127" t="s">
        <v>805</v>
      </c>
      <c r="I2098" s="127"/>
      <c r="J2098" s="93">
        <v>183.05</v>
      </c>
    </row>
    <row r="2099" spans="1:10" ht="15" thickBot="1" x14ac:dyDescent="0.25">
      <c r="A2099" s="77"/>
      <c r="B2099" s="77"/>
      <c r="C2099" s="77"/>
      <c r="D2099" s="77"/>
      <c r="E2099" s="77"/>
      <c r="F2099" s="77"/>
      <c r="G2099" s="77" t="s">
        <v>806</v>
      </c>
      <c r="H2099" s="94">
        <v>27.3</v>
      </c>
      <c r="I2099" s="77" t="s">
        <v>807</v>
      </c>
      <c r="J2099" s="78">
        <v>4997.26</v>
      </c>
    </row>
    <row r="2100" spans="1:10" ht="15" thickTop="1" x14ac:dyDescent="0.2">
      <c r="A2100" s="95"/>
      <c r="B2100" s="95"/>
      <c r="C2100" s="95"/>
      <c r="D2100" s="95"/>
      <c r="E2100" s="95"/>
      <c r="F2100" s="95"/>
      <c r="G2100" s="95"/>
      <c r="H2100" s="95"/>
      <c r="I2100" s="95"/>
      <c r="J2100" s="95"/>
    </row>
    <row r="2101" spans="1:10" ht="15" x14ac:dyDescent="0.2">
      <c r="A2101" s="75" t="s">
        <v>1400</v>
      </c>
      <c r="B2101" s="17" t="s">
        <v>11</v>
      </c>
      <c r="C2101" s="75" t="s">
        <v>12</v>
      </c>
      <c r="D2101" s="75" t="s">
        <v>2</v>
      </c>
      <c r="E2101" s="124" t="s">
        <v>779</v>
      </c>
      <c r="F2101" s="124"/>
      <c r="G2101" s="76" t="s">
        <v>3</v>
      </c>
      <c r="H2101" s="17" t="s">
        <v>4</v>
      </c>
      <c r="I2101" s="17" t="s">
        <v>13</v>
      </c>
      <c r="J2101" s="17" t="s">
        <v>17</v>
      </c>
    </row>
    <row r="2102" spans="1:10" ht="25.5" x14ac:dyDescent="0.2">
      <c r="A2102" s="19" t="s">
        <v>780</v>
      </c>
      <c r="B2102" s="20" t="s">
        <v>525</v>
      </c>
      <c r="C2102" s="19" t="s">
        <v>15</v>
      </c>
      <c r="D2102" s="19" t="s">
        <v>526</v>
      </c>
      <c r="E2102" s="125">
        <v>33.11</v>
      </c>
      <c r="F2102" s="125"/>
      <c r="G2102" s="21" t="s">
        <v>5</v>
      </c>
      <c r="H2102" s="86">
        <v>1</v>
      </c>
      <c r="I2102" s="82">
        <v>45.1</v>
      </c>
      <c r="J2102" s="82">
        <v>45.1</v>
      </c>
    </row>
    <row r="2103" spans="1:10" ht="38.25" x14ac:dyDescent="0.2">
      <c r="A2103" s="87" t="s">
        <v>781</v>
      </c>
      <c r="B2103" s="88" t="s">
        <v>786</v>
      </c>
      <c r="C2103" s="87" t="s">
        <v>15</v>
      </c>
      <c r="D2103" s="87" t="s">
        <v>787</v>
      </c>
      <c r="E2103" s="126" t="s">
        <v>784</v>
      </c>
      <c r="F2103" s="126"/>
      <c r="G2103" s="89" t="s">
        <v>785</v>
      </c>
      <c r="H2103" s="90">
        <v>0.6</v>
      </c>
      <c r="I2103" s="91">
        <v>27.08</v>
      </c>
      <c r="J2103" s="91">
        <v>16.239999999999998</v>
      </c>
    </row>
    <row r="2104" spans="1:10" ht="38.25" x14ac:dyDescent="0.2">
      <c r="A2104" s="87" t="s">
        <v>781</v>
      </c>
      <c r="B2104" s="88" t="s">
        <v>788</v>
      </c>
      <c r="C2104" s="87" t="s">
        <v>15</v>
      </c>
      <c r="D2104" s="87" t="s">
        <v>789</v>
      </c>
      <c r="E2104" s="126" t="s">
        <v>784</v>
      </c>
      <c r="F2104" s="126"/>
      <c r="G2104" s="89" t="s">
        <v>785</v>
      </c>
      <c r="H2104" s="90">
        <v>0.6</v>
      </c>
      <c r="I2104" s="91">
        <v>18.57</v>
      </c>
      <c r="J2104" s="91">
        <v>11.14</v>
      </c>
    </row>
    <row r="2105" spans="1:10" ht="38.25" x14ac:dyDescent="0.2">
      <c r="A2105" s="87" t="s">
        <v>781</v>
      </c>
      <c r="B2105" s="88" t="s">
        <v>1334</v>
      </c>
      <c r="C2105" s="87" t="s">
        <v>15</v>
      </c>
      <c r="D2105" s="87" t="s">
        <v>1335</v>
      </c>
      <c r="E2105" s="126" t="s">
        <v>794</v>
      </c>
      <c r="F2105" s="126"/>
      <c r="G2105" s="89" t="s">
        <v>720</v>
      </c>
      <c r="H2105" s="90">
        <v>0.2</v>
      </c>
      <c r="I2105" s="91">
        <v>39.130000000000003</v>
      </c>
      <c r="J2105" s="91">
        <v>7.82</v>
      </c>
    </row>
    <row r="2106" spans="1:10" ht="38.25" x14ac:dyDescent="0.2">
      <c r="A2106" s="87" t="s">
        <v>781</v>
      </c>
      <c r="B2106" s="88" t="s">
        <v>1336</v>
      </c>
      <c r="C2106" s="87" t="s">
        <v>15</v>
      </c>
      <c r="D2106" s="87" t="s">
        <v>1337</v>
      </c>
      <c r="E2106" s="126" t="s">
        <v>794</v>
      </c>
      <c r="F2106" s="126"/>
      <c r="G2106" s="89" t="s">
        <v>720</v>
      </c>
      <c r="H2106" s="90">
        <v>0.25</v>
      </c>
      <c r="I2106" s="91">
        <v>37.17</v>
      </c>
      <c r="J2106" s="91">
        <v>9.2899999999999991</v>
      </c>
    </row>
    <row r="2107" spans="1:10" ht="38.25" x14ac:dyDescent="0.2">
      <c r="A2107" s="87" t="s">
        <v>781</v>
      </c>
      <c r="B2107" s="88" t="s">
        <v>991</v>
      </c>
      <c r="C2107" s="87" t="s">
        <v>15</v>
      </c>
      <c r="D2107" s="87" t="s">
        <v>992</v>
      </c>
      <c r="E2107" s="126" t="s">
        <v>794</v>
      </c>
      <c r="F2107" s="126"/>
      <c r="G2107" s="89" t="s">
        <v>32</v>
      </c>
      <c r="H2107" s="90">
        <v>0.3</v>
      </c>
      <c r="I2107" s="91">
        <v>2.04</v>
      </c>
      <c r="J2107" s="91">
        <v>0.61</v>
      </c>
    </row>
    <row r="2108" spans="1:10" ht="38.25" x14ac:dyDescent="0.2">
      <c r="A2108" s="92"/>
      <c r="B2108" s="92"/>
      <c r="C2108" s="92"/>
      <c r="D2108" s="92"/>
      <c r="E2108" s="92" t="s">
        <v>801</v>
      </c>
      <c r="F2108" s="93">
        <v>27.38</v>
      </c>
      <c r="G2108" s="92" t="s">
        <v>802</v>
      </c>
      <c r="H2108" s="93">
        <v>0</v>
      </c>
      <c r="I2108" s="92" t="s">
        <v>803</v>
      </c>
      <c r="J2108" s="93">
        <v>27.38</v>
      </c>
    </row>
    <row r="2109" spans="1:10" ht="38.25" x14ac:dyDescent="0.2">
      <c r="A2109" s="92"/>
      <c r="B2109" s="92"/>
      <c r="C2109" s="92"/>
      <c r="D2109" s="92"/>
      <c r="E2109" s="92" t="s">
        <v>804</v>
      </c>
      <c r="F2109" s="93">
        <v>12.99</v>
      </c>
      <c r="G2109" s="92"/>
      <c r="H2109" s="127" t="s">
        <v>805</v>
      </c>
      <c r="I2109" s="127"/>
      <c r="J2109" s="93">
        <v>58.09</v>
      </c>
    </row>
    <row r="2110" spans="1:10" ht="15" thickBot="1" x14ac:dyDescent="0.25">
      <c r="A2110" s="77"/>
      <c r="B2110" s="77"/>
      <c r="C2110" s="77"/>
      <c r="D2110" s="77"/>
      <c r="E2110" s="77"/>
      <c r="F2110" s="77"/>
      <c r="G2110" s="77" t="s">
        <v>806</v>
      </c>
      <c r="H2110" s="94">
        <v>60.06</v>
      </c>
      <c r="I2110" s="77" t="s">
        <v>807</v>
      </c>
      <c r="J2110" s="78">
        <v>3488.88</v>
      </c>
    </row>
    <row r="2111" spans="1:10" ht="15" thickTop="1" x14ac:dyDescent="0.2">
      <c r="A2111" s="95"/>
      <c r="B2111" s="95"/>
      <c r="C2111" s="95"/>
      <c r="D2111" s="95"/>
      <c r="E2111" s="95"/>
      <c r="F2111" s="95"/>
      <c r="G2111" s="95"/>
      <c r="H2111" s="95"/>
      <c r="I2111" s="95"/>
      <c r="J2111" s="95"/>
    </row>
    <row r="2112" spans="1:10" x14ac:dyDescent="0.2">
      <c r="A2112" s="18" t="s">
        <v>1401</v>
      </c>
      <c r="B2112" s="18"/>
      <c r="C2112" s="18"/>
      <c r="D2112" s="18" t="s">
        <v>1387</v>
      </c>
      <c r="E2112" s="18"/>
      <c r="F2112" s="122"/>
      <c r="G2112" s="122"/>
      <c r="H2112" s="39"/>
      <c r="I2112" s="18"/>
      <c r="J2112" s="80">
        <v>110.47</v>
      </c>
    </row>
    <row r="2113" spans="1:10" ht="15" x14ac:dyDescent="0.2">
      <c r="A2113" s="75" t="s">
        <v>1402</v>
      </c>
      <c r="B2113" s="17" t="s">
        <v>11</v>
      </c>
      <c r="C2113" s="75" t="s">
        <v>12</v>
      </c>
      <c r="D2113" s="75" t="s">
        <v>2</v>
      </c>
      <c r="E2113" s="124" t="s">
        <v>779</v>
      </c>
      <c r="F2113" s="124"/>
      <c r="G2113" s="76" t="s">
        <v>3</v>
      </c>
      <c r="H2113" s="17" t="s">
        <v>4</v>
      </c>
      <c r="I2113" s="17" t="s">
        <v>13</v>
      </c>
      <c r="J2113" s="17" t="s">
        <v>17</v>
      </c>
    </row>
    <row r="2114" spans="1:10" ht="25.5" x14ac:dyDescent="0.2">
      <c r="A2114" s="19" t="s">
        <v>780</v>
      </c>
      <c r="B2114" s="20" t="s">
        <v>129</v>
      </c>
      <c r="C2114" s="19" t="s">
        <v>15</v>
      </c>
      <c r="D2114" s="19" t="s">
        <v>130</v>
      </c>
      <c r="E2114" s="125">
        <v>11.18</v>
      </c>
      <c r="F2114" s="125"/>
      <c r="G2114" s="21" t="s">
        <v>50</v>
      </c>
      <c r="H2114" s="86">
        <v>1</v>
      </c>
      <c r="I2114" s="82">
        <v>204.52</v>
      </c>
      <c r="J2114" s="82">
        <v>204.52</v>
      </c>
    </row>
    <row r="2115" spans="1:10" ht="38.25" x14ac:dyDescent="0.2">
      <c r="A2115" s="87" t="s">
        <v>781</v>
      </c>
      <c r="B2115" s="88" t="s">
        <v>816</v>
      </c>
      <c r="C2115" s="87" t="s">
        <v>15</v>
      </c>
      <c r="D2115" s="87" t="s">
        <v>817</v>
      </c>
      <c r="E2115" s="126" t="s">
        <v>784</v>
      </c>
      <c r="F2115" s="126"/>
      <c r="G2115" s="89" t="s">
        <v>785</v>
      </c>
      <c r="H2115" s="90">
        <v>1.5</v>
      </c>
      <c r="I2115" s="91">
        <v>18.57</v>
      </c>
      <c r="J2115" s="91">
        <v>27.85</v>
      </c>
    </row>
    <row r="2116" spans="1:10" ht="38.25" x14ac:dyDescent="0.2">
      <c r="A2116" s="87" t="s">
        <v>781</v>
      </c>
      <c r="B2116" s="88" t="s">
        <v>897</v>
      </c>
      <c r="C2116" s="87" t="s">
        <v>15</v>
      </c>
      <c r="D2116" s="87" t="s">
        <v>898</v>
      </c>
      <c r="E2116" s="126" t="s">
        <v>794</v>
      </c>
      <c r="F2116" s="126"/>
      <c r="G2116" s="89" t="s">
        <v>50</v>
      </c>
      <c r="H2116" s="90">
        <v>1.2</v>
      </c>
      <c r="I2116" s="91">
        <v>147.22999999999999</v>
      </c>
      <c r="J2116" s="91">
        <v>176.67</v>
      </c>
    </row>
    <row r="2117" spans="1:10" ht="38.25" x14ac:dyDescent="0.2">
      <c r="A2117" s="92"/>
      <c r="B2117" s="92"/>
      <c r="C2117" s="92"/>
      <c r="D2117" s="92"/>
      <c r="E2117" s="92" t="s">
        <v>801</v>
      </c>
      <c r="F2117" s="93">
        <v>27.85</v>
      </c>
      <c r="G2117" s="92" t="s">
        <v>802</v>
      </c>
      <c r="H2117" s="93">
        <v>0</v>
      </c>
      <c r="I2117" s="92" t="s">
        <v>803</v>
      </c>
      <c r="J2117" s="93">
        <v>27.85</v>
      </c>
    </row>
    <row r="2118" spans="1:10" ht="38.25" x14ac:dyDescent="0.2">
      <c r="A2118" s="92"/>
      <c r="B2118" s="92"/>
      <c r="C2118" s="92"/>
      <c r="D2118" s="92"/>
      <c r="E2118" s="92" t="s">
        <v>804</v>
      </c>
      <c r="F2118" s="93">
        <v>58.94</v>
      </c>
      <c r="G2118" s="92"/>
      <c r="H2118" s="127" t="s">
        <v>805</v>
      </c>
      <c r="I2118" s="127"/>
      <c r="J2118" s="93">
        <v>263.45999999999998</v>
      </c>
    </row>
    <row r="2119" spans="1:10" ht="15" thickBot="1" x14ac:dyDescent="0.25">
      <c r="A2119" s="77"/>
      <c r="B2119" s="77"/>
      <c r="C2119" s="77"/>
      <c r="D2119" s="77"/>
      <c r="E2119" s="77"/>
      <c r="F2119" s="77"/>
      <c r="G2119" s="77" t="s">
        <v>806</v>
      </c>
      <c r="H2119" s="94">
        <v>7.0000000000000007E-2</v>
      </c>
      <c r="I2119" s="77" t="s">
        <v>807</v>
      </c>
      <c r="J2119" s="78">
        <v>18.440000000000001</v>
      </c>
    </row>
    <row r="2120" spans="1:10" ht="15" thickTop="1" x14ac:dyDescent="0.2">
      <c r="A2120" s="95"/>
      <c r="B2120" s="95"/>
      <c r="C2120" s="95"/>
      <c r="D2120" s="95"/>
      <c r="E2120" s="95"/>
      <c r="F2120" s="95"/>
      <c r="G2120" s="95"/>
      <c r="H2120" s="95"/>
      <c r="I2120" s="95"/>
      <c r="J2120" s="95"/>
    </row>
    <row r="2121" spans="1:10" ht="15" x14ac:dyDescent="0.2">
      <c r="A2121" s="75" t="s">
        <v>1403</v>
      </c>
      <c r="B2121" s="17" t="s">
        <v>11</v>
      </c>
      <c r="C2121" s="75" t="s">
        <v>12</v>
      </c>
      <c r="D2121" s="75" t="s">
        <v>2</v>
      </c>
      <c r="E2121" s="124" t="s">
        <v>779</v>
      </c>
      <c r="F2121" s="124"/>
      <c r="G2121" s="76" t="s">
        <v>3</v>
      </c>
      <c r="H2121" s="17" t="s">
        <v>4</v>
      </c>
      <c r="I2121" s="17" t="s">
        <v>13</v>
      </c>
      <c r="J2121" s="17" t="s">
        <v>17</v>
      </c>
    </row>
    <row r="2122" spans="1:10" ht="25.5" x14ac:dyDescent="0.2">
      <c r="A2122" s="19" t="s">
        <v>780</v>
      </c>
      <c r="B2122" s="20" t="s">
        <v>1390</v>
      </c>
      <c r="C2122" s="19" t="s">
        <v>15</v>
      </c>
      <c r="D2122" s="19" t="s">
        <v>1391</v>
      </c>
      <c r="E2122" s="125">
        <v>11.03</v>
      </c>
      <c r="F2122" s="125"/>
      <c r="G2122" s="21" t="s">
        <v>50</v>
      </c>
      <c r="H2122" s="86">
        <v>1</v>
      </c>
      <c r="I2122" s="82">
        <v>510.34</v>
      </c>
      <c r="J2122" s="82">
        <v>510.34</v>
      </c>
    </row>
    <row r="2123" spans="1:10" ht="38.25" x14ac:dyDescent="0.2">
      <c r="A2123" s="87" t="s">
        <v>781</v>
      </c>
      <c r="B2123" s="88" t="s">
        <v>816</v>
      </c>
      <c r="C2123" s="87" t="s">
        <v>15</v>
      </c>
      <c r="D2123" s="87" t="s">
        <v>817</v>
      </c>
      <c r="E2123" s="126" t="s">
        <v>784</v>
      </c>
      <c r="F2123" s="126"/>
      <c r="G2123" s="89" t="s">
        <v>785</v>
      </c>
      <c r="H2123" s="90">
        <v>6</v>
      </c>
      <c r="I2123" s="91">
        <v>18.57</v>
      </c>
      <c r="J2123" s="91">
        <v>111.42</v>
      </c>
    </row>
    <row r="2124" spans="1:10" ht="38.25" x14ac:dyDescent="0.2">
      <c r="A2124" s="87" t="s">
        <v>781</v>
      </c>
      <c r="B2124" s="88" t="s">
        <v>897</v>
      </c>
      <c r="C2124" s="87" t="s">
        <v>15</v>
      </c>
      <c r="D2124" s="87" t="s">
        <v>898</v>
      </c>
      <c r="E2124" s="126" t="s">
        <v>794</v>
      </c>
      <c r="F2124" s="126"/>
      <c r="G2124" s="89" t="s">
        <v>50</v>
      </c>
      <c r="H2124" s="90">
        <v>0.70299999999999996</v>
      </c>
      <c r="I2124" s="91">
        <v>147.22999999999999</v>
      </c>
      <c r="J2124" s="91">
        <v>103.5</v>
      </c>
    </row>
    <row r="2125" spans="1:10" ht="38.25" x14ac:dyDescent="0.2">
      <c r="A2125" s="87" t="s">
        <v>781</v>
      </c>
      <c r="B2125" s="88" t="s">
        <v>911</v>
      </c>
      <c r="C2125" s="87" t="s">
        <v>15</v>
      </c>
      <c r="D2125" s="87" t="s">
        <v>912</v>
      </c>
      <c r="E2125" s="126" t="s">
        <v>794</v>
      </c>
      <c r="F2125" s="126"/>
      <c r="G2125" s="89" t="s">
        <v>50</v>
      </c>
      <c r="H2125" s="90">
        <v>0.63800000000000001</v>
      </c>
      <c r="I2125" s="91">
        <v>167.7</v>
      </c>
      <c r="J2125" s="91">
        <v>106.99</v>
      </c>
    </row>
    <row r="2126" spans="1:10" ht="38.25" x14ac:dyDescent="0.2">
      <c r="A2126" s="87" t="s">
        <v>781</v>
      </c>
      <c r="B2126" s="88" t="s">
        <v>913</v>
      </c>
      <c r="C2126" s="87" t="s">
        <v>15</v>
      </c>
      <c r="D2126" s="87" t="s">
        <v>914</v>
      </c>
      <c r="E2126" s="126" t="s">
        <v>794</v>
      </c>
      <c r="F2126" s="126"/>
      <c r="G2126" s="89" t="s">
        <v>134</v>
      </c>
      <c r="H2126" s="90">
        <v>300</v>
      </c>
      <c r="I2126" s="91">
        <v>0.6</v>
      </c>
      <c r="J2126" s="91">
        <v>180</v>
      </c>
    </row>
    <row r="2127" spans="1:10" ht="38.25" x14ac:dyDescent="0.2">
      <c r="A2127" s="87" t="s">
        <v>781</v>
      </c>
      <c r="B2127" s="88" t="s">
        <v>919</v>
      </c>
      <c r="C2127" s="87" t="s">
        <v>15</v>
      </c>
      <c r="D2127" s="87" t="s">
        <v>920</v>
      </c>
      <c r="E2127" s="126" t="s">
        <v>794</v>
      </c>
      <c r="F2127" s="126"/>
      <c r="G2127" s="89" t="s">
        <v>785</v>
      </c>
      <c r="H2127" s="90">
        <v>0.30599999999999999</v>
      </c>
      <c r="I2127" s="91">
        <v>27.56</v>
      </c>
      <c r="J2127" s="91">
        <v>8.43</v>
      </c>
    </row>
    <row r="2128" spans="1:10" ht="38.25" x14ac:dyDescent="0.2">
      <c r="A2128" s="92"/>
      <c r="B2128" s="92"/>
      <c r="C2128" s="92"/>
      <c r="D2128" s="92"/>
      <c r="E2128" s="92" t="s">
        <v>801</v>
      </c>
      <c r="F2128" s="93">
        <v>111.42</v>
      </c>
      <c r="G2128" s="92" t="s">
        <v>802</v>
      </c>
      <c r="H2128" s="93">
        <v>0</v>
      </c>
      <c r="I2128" s="92" t="s">
        <v>803</v>
      </c>
      <c r="J2128" s="93">
        <v>111.42</v>
      </c>
    </row>
    <row r="2129" spans="1:10" ht="38.25" x14ac:dyDescent="0.2">
      <c r="A2129" s="92"/>
      <c r="B2129" s="92"/>
      <c r="C2129" s="92"/>
      <c r="D2129" s="92"/>
      <c r="E2129" s="92" t="s">
        <v>804</v>
      </c>
      <c r="F2129" s="93">
        <v>147.07</v>
      </c>
      <c r="G2129" s="92"/>
      <c r="H2129" s="127" t="s">
        <v>805</v>
      </c>
      <c r="I2129" s="127"/>
      <c r="J2129" s="93">
        <v>657.41</v>
      </c>
    </row>
    <row r="2130" spans="1:10" ht="15" thickBot="1" x14ac:dyDescent="0.25">
      <c r="A2130" s="77"/>
      <c r="B2130" s="77"/>
      <c r="C2130" s="77"/>
      <c r="D2130" s="77"/>
      <c r="E2130" s="77"/>
      <c r="F2130" s="77"/>
      <c r="G2130" s="77" t="s">
        <v>806</v>
      </c>
      <c r="H2130" s="94">
        <v>0.14000000000000001</v>
      </c>
      <c r="I2130" s="77" t="s">
        <v>807</v>
      </c>
      <c r="J2130" s="78">
        <v>92.03</v>
      </c>
    </row>
    <row r="2131" spans="1:10" ht="15" thickTop="1" x14ac:dyDescent="0.2">
      <c r="A2131" s="95"/>
      <c r="B2131" s="95"/>
      <c r="C2131" s="95"/>
      <c r="D2131" s="95"/>
      <c r="E2131" s="95"/>
      <c r="F2131" s="95"/>
      <c r="G2131" s="95"/>
      <c r="H2131" s="95"/>
      <c r="I2131" s="95"/>
      <c r="J2131" s="95"/>
    </row>
    <row r="2132" spans="1:10" x14ac:dyDescent="0.2">
      <c r="A2132" s="18" t="s">
        <v>1404</v>
      </c>
      <c r="B2132" s="18"/>
      <c r="C2132" s="18"/>
      <c r="D2132" s="18" t="s">
        <v>8</v>
      </c>
      <c r="E2132" s="18"/>
      <c r="F2132" s="122"/>
      <c r="G2132" s="122"/>
      <c r="H2132" s="39"/>
      <c r="I2132" s="18"/>
      <c r="J2132" s="80">
        <v>23498.94</v>
      </c>
    </row>
    <row r="2133" spans="1:10" x14ac:dyDescent="0.2">
      <c r="A2133" s="18" t="s">
        <v>1405</v>
      </c>
      <c r="B2133" s="18"/>
      <c r="C2133" s="18"/>
      <c r="D2133" s="18" t="s">
        <v>559</v>
      </c>
      <c r="E2133" s="18"/>
      <c r="F2133" s="122"/>
      <c r="G2133" s="122"/>
      <c r="H2133" s="39"/>
      <c r="I2133" s="18"/>
      <c r="J2133" s="80">
        <v>6064.62</v>
      </c>
    </row>
    <row r="2134" spans="1:10" ht="15" x14ac:dyDescent="0.2">
      <c r="A2134" s="75" t="s">
        <v>1406</v>
      </c>
      <c r="B2134" s="17" t="s">
        <v>11</v>
      </c>
      <c r="C2134" s="75" t="s">
        <v>12</v>
      </c>
      <c r="D2134" s="75" t="s">
        <v>2</v>
      </c>
      <c r="E2134" s="124" t="s">
        <v>779</v>
      </c>
      <c r="F2134" s="124"/>
      <c r="G2134" s="76" t="s">
        <v>3</v>
      </c>
      <c r="H2134" s="17" t="s">
        <v>4</v>
      </c>
      <c r="I2134" s="17" t="s">
        <v>13</v>
      </c>
      <c r="J2134" s="17" t="s">
        <v>17</v>
      </c>
    </row>
    <row r="2135" spans="1:10" ht="25.5" x14ac:dyDescent="0.2">
      <c r="A2135" s="19" t="s">
        <v>780</v>
      </c>
      <c r="B2135" s="20" t="s">
        <v>14</v>
      </c>
      <c r="C2135" s="19" t="s">
        <v>15</v>
      </c>
      <c r="D2135" s="19" t="s">
        <v>9</v>
      </c>
      <c r="E2135" s="125">
        <v>55.01</v>
      </c>
      <c r="F2135" s="125"/>
      <c r="G2135" s="21" t="s">
        <v>5</v>
      </c>
      <c r="H2135" s="86">
        <v>1</v>
      </c>
      <c r="I2135" s="82">
        <v>12.99</v>
      </c>
      <c r="J2135" s="82">
        <v>12.99</v>
      </c>
    </row>
    <row r="2136" spans="1:10" ht="38.25" x14ac:dyDescent="0.2">
      <c r="A2136" s="87" t="s">
        <v>781</v>
      </c>
      <c r="B2136" s="88" t="s">
        <v>816</v>
      </c>
      <c r="C2136" s="87" t="s">
        <v>15</v>
      </c>
      <c r="D2136" s="87" t="s">
        <v>817</v>
      </c>
      <c r="E2136" s="126" t="s">
        <v>784</v>
      </c>
      <c r="F2136" s="126"/>
      <c r="G2136" s="89" t="s">
        <v>785</v>
      </c>
      <c r="H2136" s="90">
        <v>0.7</v>
      </c>
      <c r="I2136" s="91">
        <v>18.57</v>
      </c>
      <c r="J2136" s="91">
        <v>12.99</v>
      </c>
    </row>
    <row r="2137" spans="1:10" ht="38.25" x14ac:dyDescent="0.2">
      <c r="A2137" s="92"/>
      <c r="B2137" s="92"/>
      <c r="C2137" s="92"/>
      <c r="D2137" s="92"/>
      <c r="E2137" s="92" t="s">
        <v>801</v>
      </c>
      <c r="F2137" s="93">
        <v>12.99</v>
      </c>
      <c r="G2137" s="92" t="s">
        <v>802</v>
      </c>
      <c r="H2137" s="93">
        <v>0</v>
      </c>
      <c r="I2137" s="92" t="s">
        <v>803</v>
      </c>
      <c r="J2137" s="93">
        <v>12.99</v>
      </c>
    </row>
    <row r="2138" spans="1:10" ht="38.25" x14ac:dyDescent="0.2">
      <c r="A2138" s="92"/>
      <c r="B2138" s="92"/>
      <c r="C2138" s="92"/>
      <c r="D2138" s="92"/>
      <c r="E2138" s="92" t="s">
        <v>804</v>
      </c>
      <c r="F2138" s="93">
        <v>3.74</v>
      </c>
      <c r="G2138" s="92"/>
      <c r="H2138" s="127" t="s">
        <v>805</v>
      </c>
      <c r="I2138" s="127"/>
      <c r="J2138" s="93">
        <v>16.73</v>
      </c>
    </row>
    <row r="2139" spans="1:10" ht="15" thickBot="1" x14ac:dyDescent="0.25">
      <c r="A2139" s="77"/>
      <c r="B2139" s="77"/>
      <c r="C2139" s="77"/>
      <c r="D2139" s="77"/>
      <c r="E2139" s="77"/>
      <c r="F2139" s="77"/>
      <c r="G2139" s="77" t="s">
        <v>806</v>
      </c>
      <c r="H2139" s="94">
        <v>362.5</v>
      </c>
      <c r="I2139" s="77" t="s">
        <v>807</v>
      </c>
      <c r="J2139" s="78">
        <v>6064.62</v>
      </c>
    </row>
    <row r="2140" spans="1:10" ht="15" thickTop="1" x14ac:dyDescent="0.2">
      <c r="A2140" s="95"/>
      <c r="B2140" s="95"/>
      <c r="C2140" s="95"/>
      <c r="D2140" s="95"/>
      <c r="E2140" s="95"/>
      <c r="F2140" s="95"/>
      <c r="G2140" s="95"/>
      <c r="H2140" s="95"/>
      <c r="I2140" s="95"/>
      <c r="J2140" s="95"/>
    </row>
    <row r="2141" spans="1:10" x14ac:dyDescent="0.2">
      <c r="A2141" s="18" t="s">
        <v>1407</v>
      </c>
      <c r="B2141" s="18"/>
      <c r="C2141" s="18"/>
      <c r="D2141" s="18" t="s">
        <v>562</v>
      </c>
      <c r="E2141" s="18"/>
      <c r="F2141" s="122"/>
      <c r="G2141" s="122"/>
      <c r="H2141" s="39"/>
      <c r="I2141" s="18"/>
      <c r="J2141" s="80">
        <v>16149.6</v>
      </c>
    </row>
    <row r="2142" spans="1:10" ht="15" x14ac:dyDescent="0.2">
      <c r="A2142" s="75" t="s">
        <v>1408</v>
      </c>
      <c r="B2142" s="17" t="s">
        <v>11</v>
      </c>
      <c r="C2142" s="75" t="s">
        <v>12</v>
      </c>
      <c r="D2142" s="75" t="s">
        <v>2</v>
      </c>
      <c r="E2142" s="124" t="s">
        <v>779</v>
      </c>
      <c r="F2142" s="124"/>
      <c r="G2142" s="76" t="s">
        <v>3</v>
      </c>
      <c r="H2142" s="17" t="s">
        <v>4</v>
      </c>
      <c r="I2142" s="17" t="s">
        <v>13</v>
      </c>
      <c r="J2142" s="17" t="s">
        <v>17</v>
      </c>
    </row>
    <row r="2143" spans="1:10" ht="25.5" x14ac:dyDescent="0.2">
      <c r="A2143" s="19" t="s">
        <v>780</v>
      </c>
      <c r="B2143" s="20" t="s">
        <v>564</v>
      </c>
      <c r="C2143" s="19" t="s">
        <v>15</v>
      </c>
      <c r="D2143" s="19" t="s">
        <v>565</v>
      </c>
      <c r="E2143" s="125">
        <v>34.020000000000003</v>
      </c>
      <c r="F2143" s="125"/>
      <c r="G2143" s="21" t="s">
        <v>5</v>
      </c>
      <c r="H2143" s="86">
        <v>1</v>
      </c>
      <c r="I2143" s="82">
        <v>17.73</v>
      </c>
      <c r="J2143" s="82">
        <v>17.73</v>
      </c>
    </row>
    <row r="2144" spans="1:10" ht="38.25" x14ac:dyDescent="0.2">
      <c r="A2144" s="87" t="s">
        <v>781</v>
      </c>
      <c r="B2144" s="88" t="s">
        <v>808</v>
      </c>
      <c r="C2144" s="87" t="s">
        <v>15</v>
      </c>
      <c r="D2144" s="87" t="s">
        <v>809</v>
      </c>
      <c r="E2144" s="126" t="s">
        <v>784</v>
      </c>
      <c r="F2144" s="126"/>
      <c r="G2144" s="89" t="s">
        <v>785</v>
      </c>
      <c r="H2144" s="90">
        <v>0.18</v>
      </c>
      <c r="I2144" s="91">
        <v>18.57</v>
      </c>
      <c r="J2144" s="91">
        <v>3.34</v>
      </c>
    </row>
    <row r="2145" spans="1:10" ht="38.25" x14ac:dyDescent="0.2">
      <c r="A2145" s="87" t="s">
        <v>781</v>
      </c>
      <c r="B2145" s="88" t="s">
        <v>1348</v>
      </c>
      <c r="C2145" s="87" t="s">
        <v>15</v>
      </c>
      <c r="D2145" s="87" t="s">
        <v>1349</v>
      </c>
      <c r="E2145" s="126" t="s">
        <v>784</v>
      </c>
      <c r="F2145" s="126"/>
      <c r="G2145" s="89" t="s">
        <v>785</v>
      </c>
      <c r="H2145" s="90">
        <v>0.06</v>
      </c>
      <c r="I2145" s="91">
        <v>22.61</v>
      </c>
      <c r="J2145" s="91">
        <v>1.35</v>
      </c>
    </row>
    <row r="2146" spans="1:10" ht="38.25" x14ac:dyDescent="0.2">
      <c r="A2146" s="87" t="s">
        <v>781</v>
      </c>
      <c r="B2146" s="88" t="s">
        <v>1350</v>
      </c>
      <c r="C2146" s="87" t="s">
        <v>15</v>
      </c>
      <c r="D2146" s="87" t="s">
        <v>568</v>
      </c>
      <c r="E2146" s="126" t="s">
        <v>794</v>
      </c>
      <c r="F2146" s="126"/>
      <c r="G2146" s="89" t="s">
        <v>50</v>
      </c>
      <c r="H2146" s="90">
        <v>0.01</v>
      </c>
      <c r="I2146" s="91">
        <v>183.67</v>
      </c>
      <c r="J2146" s="91">
        <v>1.83</v>
      </c>
    </row>
    <row r="2147" spans="1:10" ht="38.25" x14ac:dyDescent="0.2">
      <c r="A2147" s="87" t="s">
        <v>781</v>
      </c>
      <c r="B2147" s="88" t="s">
        <v>1351</v>
      </c>
      <c r="C2147" s="87" t="s">
        <v>15</v>
      </c>
      <c r="D2147" s="87" t="s">
        <v>1352</v>
      </c>
      <c r="E2147" s="126" t="s">
        <v>794</v>
      </c>
      <c r="F2147" s="126"/>
      <c r="G2147" s="89" t="s">
        <v>5</v>
      </c>
      <c r="H2147" s="90">
        <v>1</v>
      </c>
      <c r="I2147" s="91">
        <v>11.21</v>
      </c>
      <c r="J2147" s="91">
        <v>11.21</v>
      </c>
    </row>
    <row r="2148" spans="1:10" ht="38.25" x14ac:dyDescent="0.2">
      <c r="A2148" s="92"/>
      <c r="B2148" s="92"/>
      <c r="C2148" s="92"/>
      <c r="D2148" s="92"/>
      <c r="E2148" s="92" t="s">
        <v>801</v>
      </c>
      <c r="F2148" s="93">
        <v>4.6900000000000004</v>
      </c>
      <c r="G2148" s="92" t="s">
        <v>802</v>
      </c>
      <c r="H2148" s="93">
        <v>0</v>
      </c>
      <c r="I2148" s="92" t="s">
        <v>803</v>
      </c>
      <c r="J2148" s="93">
        <v>4.6900000000000004</v>
      </c>
    </row>
    <row r="2149" spans="1:10" ht="38.25" x14ac:dyDescent="0.2">
      <c r="A2149" s="92"/>
      <c r="B2149" s="92"/>
      <c r="C2149" s="92"/>
      <c r="D2149" s="92"/>
      <c r="E2149" s="92" t="s">
        <v>804</v>
      </c>
      <c r="F2149" s="93">
        <v>5.0999999999999996</v>
      </c>
      <c r="G2149" s="92"/>
      <c r="H2149" s="127" t="s">
        <v>805</v>
      </c>
      <c r="I2149" s="127"/>
      <c r="J2149" s="93">
        <v>22.83</v>
      </c>
    </row>
    <row r="2150" spans="1:10" ht="15" thickBot="1" x14ac:dyDescent="0.25">
      <c r="A2150" s="77"/>
      <c r="B2150" s="77"/>
      <c r="C2150" s="77"/>
      <c r="D2150" s="77"/>
      <c r="E2150" s="77"/>
      <c r="F2150" s="77"/>
      <c r="G2150" s="77" t="s">
        <v>806</v>
      </c>
      <c r="H2150" s="94">
        <v>240</v>
      </c>
      <c r="I2150" s="77" t="s">
        <v>807</v>
      </c>
      <c r="J2150" s="78">
        <v>5479.2</v>
      </c>
    </row>
    <row r="2151" spans="1:10" ht="15" thickTop="1" x14ac:dyDescent="0.2">
      <c r="A2151" s="95"/>
      <c r="B2151" s="95"/>
      <c r="C2151" s="95"/>
      <c r="D2151" s="95"/>
      <c r="E2151" s="95"/>
      <c r="F2151" s="95"/>
      <c r="G2151" s="95"/>
      <c r="H2151" s="95"/>
      <c r="I2151" s="95"/>
      <c r="J2151" s="95"/>
    </row>
    <row r="2152" spans="1:10" ht="15" x14ac:dyDescent="0.2">
      <c r="A2152" s="75" t="s">
        <v>1409</v>
      </c>
      <c r="B2152" s="17" t="s">
        <v>11</v>
      </c>
      <c r="C2152" s="75" t="s">
        <v>12</v>
      </c>
      <c r="D2152" s="75" t="s">
        <v>2</v>
      </c>
      <c r="E2152" s="124" t="s">
        <v>779</v>
      </c>
      <c r="F2152" s="124"/>
      <c r="G2152" s="76" t="s">
        <v>3</v>
      </c>
      <c r="H2152" s="17" t="s">
        <v>4</v>
      </c>
      <c r="I2152" s="17" t="s">
        <v>13</v>
      </c>
      <c r="J2152" s="17" t="s">
        <v>17</v>
      </c>
    </row>
    <row r="2153" spans="1:10" ht="25.5" x14ac:dyDescent="0.2">
      <c r="A2153" s="19" t="s">
        <v>780</v>
      </c>
      <c r="B2153" s="20" t="s">
        <v>567</v>
      </c>
      <c r="C2153" s="19" t="s">
        <v>15</v>
      </c>
      <c r="D2153" s="19" t="s">
        <v>568</v>
      </c>
      <c r="E2153" s="125">
        <v>34.01</v>
      </c>
      <c r="F2153" s="125"/>
      <c r="G2153" s="21" t="s">
        <v>50</v>
      </c>
      <c r="H2153" s="86">
        <v>1</v>
      </c>
      <c r="I2153" s="82">
        <v>230.09</v>
      </c>
      <c r="J2153" s="82">
        <v>230.09</v>
      </c>
    </row>
    <row r="2154" spans="1:10" ht="38.25" x14ac:dyDescent="0.2">
      <c r="A2154" s="87" t="s">
        <v>781</v>
      </c>
      <c r="B2154" s="88" t="s">
        <v>816</v>
      </c>
      <c r="C2154" s="87" t="s">
        <v>15</v>
      </c>
      <c r="D2154" s="87" t="s">
        <v>817</v>
      </c>
      <c r="E2154" s="126" t="s">
        <v>784</v>
      </c>
      <c r="F2154" s="126"/>
      <c r="G2154" s="89" t="s">
        <v>785</v>
      </c>
      <c r="H2154" s="90">
        <v>2.5</v>
      </c>
      <c r="I2154" s="91">
        <v>18.57</v>
      </c>
      <c r="J2154" s="91">
        <v>46.42</v>
      </c>
    </row>
    <row r="2155" spans="1:10" ht="38.25" x14ac:dyDescent="0.2">
      <c r="A2155" s="87" t="s">
        <v>781</v>
      </c>
      <c r="B2155" s="88" t="s">
        <v>1350</v>
      </c>
      <c r="C2155" s="87" t="s">
        <v>15</v>
      </c>
      <c r="D2155" s="87" t="s">
        <v>568</v>
      </c>
      <c r="E2155" s="126" t="s">
        <v>794</v>
      </c>
      <c r="F2155" s="126"/>
      <c r="G2155" s="89" t="s">
        <v>50</v>
      </c>
      <c r="H2155" s="90">
        <v>1</v>
      </c>
      <c r="I2155" s="91">
        <v>183.67</v>
      </c>
      <c r="J2155" s="91">
        <v>183.67</v>
      </c>
    </row>
    <row r="2156" spans="1:10" ht="38.25" x14ac:dyDescent="0.2">
      <c r="A2156" s="92"/>
      <c r="B2156" s="92"/>
      <c r="C2156" s="92"/>
      <c r="D2156" s="92"/>
      <c r="E2156" s="92" t="s">
        <v>801</v>
      </c>
      <c r="F2156" s="93">
        <v>46.42</v>
      </c>
      <c r="G2156" s="92" t="s">
        <v>802</v>
      </c>
      <c r="H2156" s="93">
        <v>0</v>
      </c>
      <c r="I2156" s="92" t="s">
        <v>803</v>
      </c>
      <c r="J2156" s="93">
        <v>46.42</v>
      </c>
    </row>
    <row r="2157" spans="1:10" ht="38.25" x14ac:dyDescent="0.2">
      <c r="A2157" s="92"/>
      <c r="B2157" s="92"/>
      <c r="C2157" s="92"/>
      <c r="D2157" s="92"/>
      <c r="E2157" s="92" t="s">
        <v>804</v>
      </c>
      <c r="F2157" s="93">
        <v>66.31</v>
      </c>
      <c r="G2157" s="92"/>
      <c r="H2157" s="127" t="s">
        <v>805</v>
      </c>
      <c r="I2157" s="127"/>
      <c r="J2157" s="93">
        <v>296.39999999999998</v>
      </c>
    </row>
    <row r="2158" spans="1:10" ht="15" thickBot="1" x14ac:dyDescent="0.25">
      <c r="A2158" s="77"/>
      <c r="B2158" s="77"/>
      <c r="C2158" s="77"/>
      <c r="D2158" s="77"/>
      <c r="E2158" s="77"/>
      <c r="F2158" s="77"/>
      <c r="G2158" s="77" t="s">
        <v>806</v>
      </c>
      <c r="H2158" s="94">
        <v>36</v>
      </c>
      <c r="I2158" s="77" t="s">
        <v>807</v>
      </c>
      <c r="J2158" s="78">
        <v>10670.4</v>
      </c>
    </row>
    <row r="2159" spans="1:10" ht="15" thickTop="1" x14ac:dyDescent="0.2">
      <c r="A2159" s="95"/>
      <c r="B2159" s="95"/>
      <c r="C2159" s="95"/>
      <c r="D2159" s="95"/>
      <c r="E2159" s="95"/>
      <c r="F2159" s="95"/>
      <c r="G2159" s="95"/>
      <c r="H2159" s="95"/>
      <c r="I2159" s="95"/>
      <c r="J2159" s="95"/>
    </row>
    <row r="2160" spans="1:10" x14ac:dyDescent="0.2">
      <c r="A2160" s="18" t="s">
        <v>1410</v>
      </c>
      <c r="B2160" s="18"/>
      <c r="C2160" s="18"/>
      <c r="D2160" s="18" t="s">
        <v>639</v>
      </c>
      <c r="E2160" s="18"/>
      <c r="F2160" s="122"/>
      <c r="G2160" s="122"/>
      <c r="H2160" s="39"/>
      <c r="I2160" s="18"/>
      <c r="J2160" s="80">
        <v>1284.72</v>
      </c>
    </row>
    <row r="2161" spans="1:10" ht="15" x14ac:dyDescent="0.2">
      <c r="A2161" s="75" t="s">
        <v>1411</v>
      </c>
      <c r="B2161" s="17" t="s">
        <v>11</v>
      </c>
      <c r="C2161" s="75" t="s">
        <v>12</v>
      </c>
      <c r="D2161" s="75" t="s">
        <v>2</v>
      </c>
      <c r="E2161" s="124" t="s">
        <v>779</v>
      </c>
      <c r="F2161" s="124"/>
      <c r="G2161" s="76" t="s">
        <v>3</v>
      </c>
      <c r="H2161" s="17" t="s">
        <v>4</v>
      </c>
      <c r="I2161" s="17" t="s">
        <v>13</v>
      </c>
      <c r="J2161" s="17" t="s">
        <v>17</v>
      </c>
    </row>
    <row r="2162" spans="1:10" ht="25.5" x14ac:dyDescent="0.2">
      <c r="A2162" s="19" t="s">
        <v>780</v>
      </c>
      <c r="B2162" s="20" t="s">
        <v>696</v>
      </c>
      <c r="C2162" s="19" t="s">
        <v>240</v>
      </c>
      <c r="D2162" s="19" t="s">
        <v>697</v>
      </c>
      <c r="E2162" s="125" t="s">
        <v>1353</v>
      </c>
      <c r="F2162" s="125"/>
      <c r="G2162" s="21" t="s">
        <v>32</v>
      </c>
      <c r="H2162" s="86">
        <v>1</v>
      </c>
      <c r="I2162" s="82">
        <v>249.33</v>
      </c>
      <c r="J2162" s="82">
        <v>249.33</v>
      </c>
    </row>
    <row r="2163" spans="1:10" x14ac:dyDescent="0.2">
      <c r="A2163" s="87" t="s">
        <v>781</v>
      </c>
      <c r="B2163" s="88" t="s">
        <v>1354</v>
      </c>
      <c r="C2163" s="87" t="s">
        <v>240</v>
      </c>
      <c r="D2163" s="87" t="s">
        <v>1355</v>
      </c>
      <c r="E2163" s="126" t="s">
        <v>794</v>
      </c>
      <c r="F2163" s="126"/>
      <c r="G2163" s="89" t="s">
        <v>32</v>
      </c>
      <c r="H2163" s="90">
        <v>1</v>
      </c>
      <c r="I2163" s="91">
        <v>215</v>
      </c>
      <c r="J2163" s="91">
        <v>215</v>
      </c>
    </row>
    <row r="2164" spans="1:10" x14ac:dyDescent="0.2">
      <c r="A2164" s="87" t="s">
        <v>781</v>
      </c>
      <c r="B2164" s="88" t="s">
        <v>1026</v>
      </c>
      <c r="C2164" s="87" t="s">
        <v>240</v>
      </c>
      <c r="D2164" s="87" t="s">
        <v>1027</v>
      </c>
      <c r="E2164" s="126" t="s">
        <v>784</v>
      </c>
      <c r="F2164" s="126"/>
      <c r="G2164" s="89" t="s">
        <v>785</v>
      </c>
      <c r="H2164" s="90">
        <v>0.76700000000000002</v>
      </c>
      <c r="I2164" s="91">
        <v>24.58</v>
      </c>
      <c r="J2164" s="91">
        <v>18.850000000000001</v>
      </c>
    </row>
    <row r="2165" spans="1:10" x14ac:dyDescent="0.2">
      <c r="A2165" s="87" t="s">
        <v>781</v>
      </c>
      <c r="B2165" s="88" t="s">
        <v>1028</v>
      </c>
      <c r="C2165" s="87" t="s">
        <v>240</v>
      </c>
      <c r="D2165" s="87" t="s">
        <v>1029</v>
      </c>
      <c r="E2165" s="126" t="s">
        <v>784</v>
      </c>
      <c r="F2165" s="126"/>
      <c r="G2165" s="89" t="s">
        <v>785</v>
      </c>
      <c r="H2165" s="90">
        <v>0.76700000000000002</v>
      </c>
      <c r="I2165" s="91">
        <v>20.190000000000001</v>
      </c>
      <c r="J2165" s="91">
        <v>15.48</v>
      </c>
    </row>
    <row r="2166" spans="1:10" ht="38.25" x14ac:dyDescent="0.2">
      <c r="A2166" s="92"/>
      <c r="B2166" s="92"/>
      <c r="C2166" s="92"/>
      <c r="D2166" s="92"/>
      <c r="E2166" s="92" t="s">
        <v>801</v>
      </c>
      <c r="F2166" s="93">
        <v>34.33</v>
      </c>
      <c r="G2166" s="92" t="s">
        <v>802</v>
      </c>
      <c r="H2166" s="93">
        <v>0</v>
      </c>
      <c r="I2166" s="92" t="s">
        <v>803</v>
      </c>
      <c r="J2166" s="93">
        <v>34.33</v>
      </c>
    </row>
    <row r="2167" spans="1:10" ht="38.25" x14ac:dyDescent="0.2">
      <c r="A2167" s="92"/>
      <c r="B2167" s="92"/>
      <c r="C2167" s="92"/>
      <c r="D2167" s="92"/>
      <c r="E2167" s="92" t="s">
        <v>804</v>
      </c>
      <c r="F2167" s="93">
        <v>71.849999999999994</v>
      </c>
      <c r="G2167" s="92"/>
      <c r="H2167" s="127" t="s">
        <v>805</v>
      </c>
      <c r="I2167" s="127"/>
      <c r="J2167" s="93">
        <v>321.18</v>
      </c>
    </row>
    <row r="2168" spans="1:10" ht="15" thickBot="1" x14ac:dyDescent="0.25">
      <c r="A2168" s="77"/>
      <c r="B2168" s="77"/>
      <c r="C2168" s="77"/>
      <c r="D2168" s="77"/>
      <c r="E2168" s="77"/>
      <c r="F2168" s="77"/>
      <c r="G2168" s="77" t="s">
        <v>806</v>
      </c>
      <c r="H2168" s="94">
        <v>4</v>
      </c>
      <c r="I2168" s="77" t="s">
        <v>807</v>
      </c>
      <c r="J2168" s="78">
        <v>1284.72</v>
      </c>
    </row>
    <row r="2169" spans="1:10" ht="15" thickTop="1" x14ac:dyDescent="0.2">
      <c r="A2169" s="95"/>
      <c r="B2169" s="95"/>
      <c r="C2169" s="95"/>
      <c r="D2169" s="95"/>
      <c r="E2169" s="95"/>
      <c r="F2169" s="95"/>
      <c r="G2169" s="95"/>
      <c r="H2169" s="95"/>
      <c r="I2169" s="95"/>
      <c r="J2169" s="95"/>
    </row>
    <row r="2170" spans="1:10" x14ac:dyDescent="0.2">
      <c r="A2170" s="79"/>
      <c r="B2170" s="79"/>
      <c r="C2170" s="79"/>
      <c r="D2170" s="79"/>
      <c r="E2170" s="79"/>
      <c r="F2170" s="79"/>
      <c r="G2170" s="79"/>
      <c r="H2170" s="79"/>
      <c r="I2170" s="79"/>
      <c r="J2170" s="79"/>
    </row>
    <row r="2171" spans="1:10" x14ac:dyDescent="0.2">
      <c r="A2171" s="111"/>
      <c r="B2171" s="111"/>
      <c r="C2171" s="111"/>
      <c r="D2171" s="85"/>
      <c r="E2171" s="77"/>
      <c r="F2171" s="112" t="s">
        <v>19</v>
      </c>
      <c r="G2171" s="111"/>
      <c r="H2171" s="113">
        <v>696027.38</v>
      </c>
      <c r="I2171" s="111"/>
      <c r="J2171" s="111"/>
    </row>
    <row r="2172" spans="1:10" x14ac:dyDescent="0.2">
      <c r="A2172" s="111"/>
      <c r="B2172" s="111"/>
      <c r="C2172" s="111"/>
      <c r="D2172" s="85"/>
      <c r="E2172" s="77"/>
      <c r="F2172" s="112" t="s">
        <v>20</v>
      </c>
      <c r="G2172" s="111"/>
      <c r="H2172" s="113">
        <v>200491.08</v>
      </c>
      <c r="I2172" s="111"/>
      <c r="J2172" s="111"/>
    </row>
    <row r="2173" spans="1:10" x14ac:dyDescent="0.2">
      <c r="A2173" s="111"/>
      <c r="B2173" s="111"/>
      <c r="C2173" s="111"/>
      <c r="D2173" s="85"/>
      <c r="E2173" s="77"/>
      <c r="F2173" s="112" t="s">
        <v>21</v>
      </c>
      <c r="G2173" s="111"/>
      <c r="H2173" s="113">
        <v>896518.46</v>
      </c>
      <c r="I2173" s="111"/>
      <c r="J2173" s="111"/>
    </row>
    <row r="2174" spans="1:10" ht="54" customHeight="1" x14ac:dyDescent="0.2">
      <c r="A2174" s="84"/>
      <c r="B2174" s="84"/>
      <c r="C2174" s="84"/>
      <c r="D2174" s="84"/>
      <c r="E2174" s="84"/>
      <c r="F2174" s="84"/>
      <c r="G2174" s="84"/>
      <c r="H2174" s="84"/>
      <c r="I2174" s="84"/>
      <c r="J2174" s="84"/>
    </row>
    <row r="2175" spans="1:10" ht="54" customHeight="1" x14ac:dyDescent="0.2">
      <c r="A2175" s="114" t="s">
        <v>708</v>
      </c>
      <c r="B2175" s="118"/>
      <c r="C2175" s="118"/>
      <c r="D2175" s="118"/>
      <c r="E2175" s="118"/>
      <c r="F2175" s="118"/>
      <c r="G2175" s="118"/>
      <c r="H2175" s="118"/>
      <c r="I2175" s="118"/>
      <c r="J2175" s="118"/>
    </row>
    <row r="2176" spans="1:10" ht="54" customHeight="1" x14ac:dyDescent="0.2"/>
    <row r="2177" ht="54" customHeight="1" x14ac:dyDescent="0.2"/>
    <row r="2178" ht="54" customHeight="1" x14ac:dyDescent="0.2"/>
    <row r="2179" ht="54" customHeight="1" x14ac:dyDescent="0.2"/>
    <row r="2180" ht="54" customHeight="1" x14ac:dyDescent="0.2"/>
    <row r="2181" ht="54" customHeight="1" x14ac:dyDescent="0.2"/>
    <row r="2182" ht="54" customHeight="1" x14ac:dyDescent="0.2"/>
    <row r="2183" ht="54" customHeight="1" x14ac:dyDescent="0.2"/>
    <row r="2184" ht="54" customHeight="1" x14ac:dyDescent="0.2"/>
    <row r="2185" ht="54" customHeight="1" x14ac:dyDescent="0.2"/>
    <row r="2186" ht="54" customHeight="1" x14ac:dyDescent="0.2"/>
    <row r="2187" ht="54" customHeight="1" x14ac:dyDescent="0.2"/>
    <row r="2188" ht="54" customHeight="1" x14ac:dyDescent="0.2"/>
    <row r="2189" ht="54" customHeight="1" x14ac:dyDescent="0.2"/>
    <row r="2190" ht="54" customHeight="1" x14ac:dyDescent="0.2"/>
    <row r="2191" ht="54" customHeight="1" x14ac:dyDescent="0.2"/>
    <row r="2192" ht="54" customHeight="1" x14ac:dyDescent="0.2"/>
    <row r="2193" ht="54" customHeight="1" x14ac:dyDescent="0.2"/>
    <row r="2194" ht="54" customHeight="1" x14ac:dyDescent="0.2"/>
    <row r="2195" ht="54" customHeight="1" x14ac:dyDescent="0.2"/>
    <row r="2196" ht="54" customHeight="1" x14ac:dyDescent="0.2"/>
    <row r="2197" ht="54" customHeight="1" x14ac:dyDescent="0.2"/>
    <row r="2198" ht="54" customHeight="1" x14ac:dyDescent="0.2"/>
    <row r="2199" ht="54" customHeight="1" x14ac:dyDescent="0.2"/>
    <row r="2200" ht="54" customHeight="1" x14ac:dyDescent="0.2"/>
    <row r="2201" ht="54" customHeight="1" x14ac:dyDescent="0.2"/>
    <row r="2202" ht="54" customHeight="1" x14ac:dyDescent="0.2"/>
    <row r="2203" ht="54" customHeight="1" x14ac:dyDescent="0.2"/>
    <row r="2204" ht="54" customHeight="1" x14ac:dyDescent="0.2"/>
    <row r="2205" ht="54" customHeight="1" x14ac:dyDescent="0.2"/>
    <row r="2206" ht="54" customHeight="1" x14ac:dyDescent="0.2"/>
    <row r="2207" ht="54" customHeight="1" x14ac:dyDescent="0.2"/>
    <row r="2208" ht="54" customHeight="1" x14ac:dyDescent="0.2"/>
    <row r="2209" ht="54" customHeight="1" x14ac:dyDescent="0.2"/>
    <row r="2210" ht="54" customHeight="1" x14ac:dyDescent="0.2"/>
    <row r="2211" ht="54" customHeight="1" x14ac:dyDescent="0.2"/>
    <row r="2212" ht="54" customHeight="1" x14ac:dyDescent="0.2"/>
    <row r="2213" ht="54" customHeight="1" x14ac:dyDescent="0.2"/>
    <row r="2214" ht="54" customHeight="1" x14ac:dyDescent="0.2"/>
    <row r="2215" ht="54" customHeight="1" x14ac:dyDescent="0.2"/>
    <row r="2216" ht="54" customHeight="1" x14ac:dyDescent="0.2"/>
    <row r="2217" ht="54" customHeight="1" x14ac:dyDescent="0.2"/>
    <row r="2218" ht="54" customHeight="1" x14ac:dyDescent="0.2"/>
    <row r="2219" ht="54" customHeight="1" x14ac:dyDescent="0.2"/>
    <row r="2220" ht="54" customHeight="1" x14ac:dyDescent="0.2"/>
    <row r="2221" ht="54" customHeight="1" x14ac:dyDescent="0.2"/>
    <row r="2222" ht="54" customHeight="1" x14ac:dyDescent="0.2"/>
    <row r="2223" ht="54" customHeight="1" x14ac:dyDescent="0.2"/>
    <row r="2224" ht="54" customHeight="1" x14ac:dyDescent="0.2"/>
    <row r="2225" ht="54" customHeight="1" x14ac:dyDescent="0.2"/>
    <row r="2226" ht="54" customHeight="1" x14ac:dyDescent="0.2"/>
    <row r="2227" ht="54" customHeight="1" x14ac:dyDescent="0.2"/>
    <row r="2228" ht="54" customHeight="1" x14ac:dyDescent="0.2"/>
    <row r="2229" ht="54" customHeight="1" x14ac:dyDescent="0.2"/>
    <row r="2230" ht="54" customHeight="1" x14ac:dyDescent="0.2"/>
    <row r="2231" ht="54" customHeight="1" x14ac:dyDescent="0.2"/>
    <row r="2232" ht="54" customHeight="1" x14ac:dyDescent="0.2"/>
    <row r="2233" ht="54" customHeight="1" x14ac:dyDescent="0.2"/>
    <row r="2234" ht="54" customHeight="1" x14ac:dyDescent="0.2"/>
    <row r="2235" ht="54" customHeight="1" x14ac:dyDescent="0.2"/>
    <row r="2236" ht="54" customHeight="1" x14ac:dyDescent="0.2"/>
    <row r="2237" ht="54" customHeight="1" x14ac:dyDescent="0.2"/>
    <row r="2238" ht="54" customHeight="1" x14ac:dyDescent="0.2"/>
    <row r="2239" ht="54" customHeight="1" x14ac:dyDescent="0.2"/>
    <row r="2240" ht="54" customHeight="1" x14ac:dyDescent="0.2"/>
    <row r="2241" ht="54" customHeight="1" x14ac:dyDescent="0.2"/>
    <row r="2242" ht="54" customHeight="1" x14ac:dyDescent="0.2"/>
    <row r="2243" ht="54" customHeight="1" x14ac:dyDescent="0.2"/>
    <row r="2244" ht="54" customHeight="1" x14ac:dyDescent="0.2"/>
    <row r="2245" ht="54" customHeight="1" x14ac:dyDescent="0.2"/>
    <row r="2246" ht="54" customHeight="1" x14ac:dyDescent="0.2"/>
    <row r="2247" ht="54" customHeight="1" x14ac:dyDescent="0.2"/>
    <row r="2248" ht="54" customHeight="1" x14ac:dyDescent="0.2"/>
    <row r="2249" ht="54" customHeight="1" x14ac:dyDescent="0.2"/>
    <row r="2250" ht="54" customHeight="1" x14ac:dyDescent="0.2"/>
    <row r="2251" ht="54" customHeight="1" x14ac:dyDescent="0.2"/>
    <row r="2252" ht="54" customHeight="1" x14ac:dyDescent="0.2"/>
    <row r="2253" ht="54" customHeight="1" x14ac:dyDescent="0.2"/>
    <row r="2254" ht="54" customHeight="1" x14ac:dyDescent="0.2"/>
    <row r="2255" ht="54" customHeight="1" x14ac:dyDescent="0.2"/>
    <row r="2256" ht="54" customHeight="1" x14ac:dyDescent="0.2"/>
    <row r="2257" ht="54" customHeight="1" x14ac:dyDescent="0.2"/>
    <row r="2258" ht="54" customHeight="1" x14ac:dyDescent="0.2"/>
    <row r="2259" ht="54" customHeight="1" x14ac:dyDescent="0.2"/>
    <row r="2260" ht="54" customHeight="1" x14ac:dyDescent="0.2"/>
    <row r="2261" ht="54" customHeight="1" x14ac:dyDescent="0.2"/>
    <row r="2262" ht="54" customHeight="1" x14ac:dyDescent="0.2"/>
    <row r="2263" ht="54" customHeight="1" x14ac:dyDescent="0.2"/>
    <row r="2264" ht="54" customHeight="1" x14ac:dyDescent="0.2"/>
    <row r="2265" ht="54" customHeight="1" x14ac:dyDescent="0.2"/>
    <row r="2266" ht="54" customHeight="1" x14ac:dyDescent="0.2"/>
    <row r="2267" ht="54" customHeight="1" x14ac:dyDescent="0.2"/>
    <row r="2268" ht="54" customHeight="1" x14ac:dyDescent="0.2"/>
    <row r="2269" ht="54" customHeight="1" x14ac:dyDescent="0.2"/>
    <row r="2270" ht="54" customHeight="1" x14ac:dyDescent="0.2"/>
    <row r="2271" ht="54" customHeight="1" x14ac:dyDescent="0.2"/>
    <row r="2272" ht="54" customHeight="1" x14ac:dyDescent="0.2"/>
    <row r="2273" ht="54" customHeight="1" x14ac:dyDescent="0.2"/>
    <row r="2274" ht="54" customHeight="1" x14ac:dyDescent="0.2"/>
    <row r="2275" ht="54" customHeight="1" x14ac:dyDescent="0.2"/>
    <row r="2276" ht="54" customHeight="1" x14ac:dyDescent="0.2"/>
    <row r="2277" ht="54" customHeight="1" x14ac:dyDescent="0.2"/>
    <row r="2278" ht="54" customHeight="1" x14ac:dyDescent="0.2"/>
    <row r="2279" ht="54" customHeight="1" x14ac:dyDescent="0.2"/>
    <row r="2280" ht="54" customHeight="1" x14ac:dyDescent="0.2"/>
    <row r="2281" ht="54" customHeight="1" x14ac:dyDescent="0.2"/>
    <row r="2282" ht="54" customHeight="1" x14ac:dyDescent="0.2"/>
    <row r="2283" ht="54" customHeight="1" x14ac:dyDescent="0.2"/>
    <row r="2284" ht="54" customHeight="1" x14ac:dyDescent="0.2"/>
    <row r="2285" ht="54" customHeight="1" x14ac:dyDescent="0.2"/>
    <row r="2286" ht="54" customHeight="1" x14ac:dyDescent="0.2"/>
    <row r="2287" ht="54" customHeight="1" x14ac:dyDescent="0.2"/>
    <row r="2288" ht="54" customHeight="1" x14ac:dyDescent="0.2"/>
    <row r="2289" ht="54" customHeight="1" x14ac:dyDescent="0.2"/>
    <row r="2290" ht="54" customHeight="1" x14ac:dyDescent="0.2"/>
    <row r="2291" ht="54" customHeight="1" x14ac:dyDescent="0.2"/>
    <row r="2292" ht="54" customHeight="1" x14ac:dyDescent="0.2"/>
    <row r="2293" ht="54" customHeight="1" x14ac:dyDescent="0.2"/>
    <row r="2294" ht="54" customHeight="1" x14ac:dyDescent="0.2"/>
    <row r="2295" ht="54" customHeight="1" x14ac:dyDescent="0.2"/>
    <row r="2296" ht="54" customHeight="1" x14ac:dyDescent="0.2"/>
    <row r="2297" ht="54" customHeight="1" x14ac:dyDescent="0.2"/>
    <row r="2298" ht="54" customHeight="1" x14ac:dyDescent="0.2"/>
    <row r="2299" ht="54" customHeight="1" x14ac:dyDescent="0.2"/>
    <row r="2300" ht="54" customHeight="1" x14ac:dyDescent="0.2"/>
    <row r="2301" ht="54" customHeight="1" x14ac:dyDescent="0.2"/>
    <row r="2302" ht="54" customHeight="1" x14ac:dyDescent="0.2"/>
    <row r="2303" ht="54" customHeight="1" x14ac:dyDescent="0.2"/>
    <row r="2304" ht="54" customHeight="1" x14ac:dyDescent="0.2"/>
    <row r="2305" ht="54" customHeight="1" x14ac:dyDescent="0.2"/>
    <row r="2306" ht="54" customHeight="1" x14ac:dyDescent="0.2"/>
    <row r="2307" ht="54" customHeight="1" x14ac:dyDescent="0.2"/>
    <row r="2308" ht="54" customHeight="1" x14ac:dyDescent="0.2"/>
    <row r="2309" ht="54" customHeight="1" x14ac:dyDescent="0.2"/>
    <row r="2310" ht="54" customHeight="1" x14ac:dyDescent="0.2"/>
    <row r="2311" ht="54" customHeight="1" x14ac:dyDescent="0.2"/>
    <row r="2312" ht="54" customHeight="1" x14ac:dyDescent="0.2"/>
    <row r="2313" ht="54" customHeight="1" x14ac:dyDescent="0.2"/>
    <row r="2314" ht="54" customHeight="1" x14ac:dyDescent="0.2"/>
    <row r="2315" ht="54" customHeight="1" x14ac:dyDescent="0.2"/>
    <row r="2316" ht="54" customHeight="1" x14ac:dyDescent="0.2"/>
    <row r="2317" ht="54" customHeight="1" x14ac:dyDescent="0.2"/>
    <row r="2318" ht="54" customHeight="1" x14ac:dyDescent="0.2"/>
    <row r="2319" ht="54" customHeight="1" x14ac:dyDescent="0.2"/>
    <row r="2320" ht="54" customHeight="1" x14ac:dyDescent="0.2"/>
    <row r="2321" ht="54" customHeight="1" x14ac:dyDescent="0.2"/>
    <row r="2322" ht="54" customHeight="1" x14ac:dyDescent="0.2"/>
    <row r="2323" ht="54" customHeight="1" x14ac:dyDescent="0.2"/>
    <row r="2324" ht="54" customHeight="1" x14ac:dyDescent="0.2"/>
    <row r="2325" ht="54" customHeight="1" x14ac:dyDescent="0.2"/>
    <row r="2326" ht="54" customHeight="1" x14ac:dyDescent="0.2"/>
    <row r="2327" ht="54" customHeight="1" x14ac:dyDescent="0.2"/>
    <row r="2328" ht="54" customHeight="1" x14ac:dyDescent="0.2"/>
    <row r="2329" ht="54" customHeight="1" x14ac:dyDescent="0.2"/>
    <row r="2330" ht="54" customHeight="1" x14ac:dyDescent="0.2"/>
    <row r="2331" ht="54" customHeight="1" x14ac:dyDescent="0.2"/>
    <row r="2332" ht="54" customHeight="1" x14ac:dyDescent="0.2"/>
    <row r="2333" ht="54" customHeight="1" x14ac:dyDescent="0.2"/>
    <row r="2334" ht="54" customHeight="1" x14ac:dyDescent="0.2"/>
    <row r="2335" ht="54" customHeight="1" x14ac:dyDescent="0.2"/>
    <row r="2336" ht="54" customHeight="1" x14ac:dyDescent="0.2"/>
    <row r="2337" ht="54" customHeight="1" x14ac:dyDescent="0.2"/>
    <row r="2338" ht="54" customHeight="1" x14ac:dyDescent="0.2"/>
    <row r="2339" ht="54" customHeight="1" x14ac:dyDescent="0.2"/>
    <row r="2340" ht="54" customHeight="1" x14ac:dyDescent="0.2"/>
    <row r="2341" ht="54" customHeight="1" x14ac:dyDescent="0.2"/>
    <row r="2342" ht="54" customHeight="1" x14ac:dyDescent="0.2"/>
    <row r="2343" ht="54" customHeight="1" x14ac:dyDescent="0.2"/>
    <row r="2344" ht="54" customHeight="1" x14ac:dyDescent="0.2"/>
    <row r="2345" ht="54" customHeight="1" x14ac:dyDescent="0.2"/>
    <row r="2346" ht="54" customHeight="1" x14ac:dyDescent="0.2"/>
    <row r="2347" ht="54" customHeight="1" x14ac:dyDescent="0.2"/>
    <row r="2348" ht="54" customHeight="1" x14ac:dyDescent="0.2"/>
    <row r="2349" ht="54" customHeight="1" x14ac:dyDescent="0.2"/>
    <row r="2350" ht="54" customHeight="1" x14ac:dyDescent="0.2"/>
    <row r="2351" ht="54" customHeight="1" x14ac:dyDescent="0.2"/>
    <row r="2352" ht="54" customHeight="1" x14ac:dyDescent="0.2"/>
    <row r="2353" ht="54" customHeight="1" x14ac:dyDescent="0.2"/>
    <row r="2354" ht="54" customHeight="1" x14ac:dyDescent="0.2"/>
    <row r="2355" ht="54" customHeight="1" x14ac:dyDescent="0.2"/>
    <row r="2356" ht="54" customHeight="1" x14ac:dyDescent="0.2"/>
    <row r="2357" ht="54" customHeight="1" x14ac:dyDescent="0.2"/>
    <row r="2358" ht="54" customHeight="1" x14ac:dyDescent="0.2"/>
    <row r="2359" ht="54" customHeight="1" x14ac:dyDescent="0.2"/>
    <row r="2360" ht="54" customHeight="1" x14ac:dyDescent="0.2"/>
    <row r="2361" ht="54" customHeight="1" x14ac:dyDescent="0.2"/>
    <row r="2362" ht="54" customHeight="1" x14ac:dyDescent="0.2"/>
    <row r="2363" ht="54" customHeight="1" x14ac:dyDescent="0.2"/>
    <row r="2364" ht="54" customHeight="1" x14ac:dyDescent="0.2"/>
    <row r="2365" ht="54" customHeight="1" x14ac:dyDescent="0.2"/>
    <row r="2366" ht="54" customHeight="1" x14ac:dyDescent="0.2"/>
    <row r="2367" ht="54" customHeight="1" x14ac:dyDescent="0.2"/>
    <row r="2368" ht="54" customHeight="1" x14ac:dyDescent="0.2"/>
    <row r="2369" ht="54" customHeight="1" x14ac:dyDescent="0.2"/>
    <row r="2370" ht="54" customHeight="1" x14ac:dyDescent="0.2"/>
    <row r="2371" ht="54" customHeight="1" x14ac:dyDescent="0.2"/>
    <row r="2372" ht="54" customHeight="1" x14ac:dyDescent="0.2"/>
    <row r="2373" ht="54" customHeight="1" x14ac:dyDescent="0.2"/>
    <row r="2374" ht="54" customHeight="1" x14ac:dyDescent="0.2"/>
    <row r="2375" ht="54" customHeight="1" x14ac:dyDescent="0.2"/>
    <row r="2376" ht="54" customHeight="1" x14ac:dyDescent="0.2"/>
    <row r="2377" ht="54" customHeight="1" x14ac:dyDescent="0.2"/>
    <row r="2378" ht="54" customHeight="1" x14ac:dyDescent="0.2"/>
    <row r="2379" ht="54" customHeight="1" x14ac:dyDescent="0.2"/>
    <row r="2380" ht="54" customHeight="1" x14ac:dyDescent="0.2"/>
    <row r="2381" ht="54" customHeight="1" x14ac:dyDescent="0.2"/>
    <row r="2382" ht="54" customHeight="1" x14ac:dyDescent="0.2"/>
    <row r="2383" ht="54" customHeight="1" x14ac:dyDescent="0.2"/>
    <row r="2384" ht="54" customHeight="1" x14ac:dyDescent="0.2"/>
    <row r="2385" ht="54" customHeight="1" x14ac:dyDescent="0.2"/>
    <row r="2386" ht="54" customHeight="1" x14ac:dyDescent="0.2"/>
    <row r="2387" ht="54" customHeight="1" x14ac:dyDescent="0.2"/>
    <row r="2388" ht="54" customHeight="1" x14ac:dyDescent="0.2"/>
    <row r="2389" ht="54" customHeight="1" x14ac:dyDescent="0.2"/>
    <row r="2390" ht="54" customHeight="1" x14ac:dyDescent="0.2"/>
    <row r="2391" ht="54" customHeight="1" x14ac:dyDescent="0.2"/>
    <row r="2392" ht="54" customHeight="1" x14ac:dyDescent="0.2"/>
    <row r="2393" ht="54" customHeight="1" x14ac:dyDescent="0.2"/>
    <row r="2394" ht="54" customHeight="1" x14ac:dyDescent="0.2"/>
    <row r="2395" ht="54" customHeight="1" x14ac:dyDescent="0.2"/>
    <row r="2396" ht="54" customHeight="1" x14ac:dyDescent="0.2"/>
    <row r="2397" ht="54" customHeight="1" x14ac:dyDescent="0.2"/>
    <row r="2398" ht="54" customHeight="1" x14ac:dyDescent="0.2"/>
    <row r="2399" ht="54" customHeight="1" x14ac:dyDescent="0.2"/>
    <row r="2400" ht="54" customHeight="1" x14ac:dyDescent="0.2"/>
    <row r="2401" ht="54" customHeight="1" x14ac:dyDescent="0.2"/>
    <row r="2402" ht="54" customHeight="1" x14ac:dyDescent="0.2"/>
    <row r="2403" ht="54" customHeight="1" x14ac:dyDescent="0.2"/>
    <row r="2404" ht="54" customHeight="1" x14ac:dyDescent="0.2"/>
    <row r="2405" ht="54" customHeight="1" x14ac:dyDescent="0.2"/>
    <row r="2406" ht="54" customHeight="1" x14ac:dyDescent="0.2"/>
    <row r="2407" ht="54" customHeight="1" x14ac:dyDescent="0.2"/>
    <row r="2408" ht="54" customHeight="1" x14ac:dyDescent="0.2"/>
    <row r="2409" ht="54" customHeight="1" x14ac:dyDescent="0.2"/>
    <row r="2410" ht="54" customHeight="1" x14ac:dyDescent="0.2"/>
    <row r="2411" ht="54" customHeight="1" x14ac:dyDescent="0.2"/>
    <row r="2412" ht="54" customHeight="1" x14ac:dyDescent="0.2"/>
    <row r="2413" ht="54" customHeight="1" x14ac:dyDescent="0.2"/>
    <row r="2414" ht="54" customHeight="1" x14ac:dyDescent="0.2"/>
    <row r="2415" ht="54" customHeight="1" x14ac:dyDescent="0.2"/>
    <row r="2416" ht="54" customHeight="1" x14ac:dyDescent="0.2"/>
    <row r="2417" ht="54" customHeight="1" x14ac:dyDescent="0.2"/>
    <row r="2418" ht="54" customHeight="1" x14ac:dyDescent="0.2"/>
    <row r="2419" ht="54" customHeight="1" x14ac:dyDescent="0.2"/>
    <row r="2420" ht="54" customHeight="1" x14ac:dyDescent="0.2"/>
    <row r="2421" ht="54" customHeight="1" x14ac:dyDescent="0.2"/>
    <row r="2422" ht="54" customHeight="1" x14ac:dyDescent="0.2"/>
    <row r="2423" ht="54" customHeight="1" x14ac:dyDescent="0.2"/>
    <row r="2424" ht="54" customHeight="1" x14ac:dyDescent="0.2"/>
    <row r="2425" ht="54" customHeight="1" x14ac:dyDescent="0.2"/>
    <row r="2426" ht="54" customHeight="1" x14ac:dyDescent="0.2"/>
    <row r="2427" ht="54" customHeight="1" x14ac:dyDescent="0.2"/>
    <row r="2428" ht="54" customHeight="1" x14ac:dyDescent="0.2"/>
    <row r="2429" ht="54" customHeight="1" x14ac:dyDescent="0.2"/>
    <row r="2430" ht="54" customHeight="1" x14ac:dyDescent="0.2"/>
    <row r="2431" ht="54" customHeight="1" x14ac:dyDescent="0.2"/>
    <row r="2432" ht="54" customHeight="1" x14ac:dyDescent="0.2"/>
    <row r="2433" ht="54" customHeight="1" x14ac:dyDescent="0.2"/>
    <row r="2434" ht="54" customHeight="1" x14ac:dyDescent="0.2"/>
    <row r="2435" ht="54" customHeight="1" x14ac:dyDescent="0.2"/>
    <row r="2436" ht="54" customHeight="1" x14ac:dyDescent="0.2"/>
    <row r="2437" ht="54" customHeight="1" x14ac:dyDescent="0.2"/>
    <row r="2438" ht="54" customHeight="1" x14ac:dyDescent="0.2"/>
    <row r="2439" ht="54" customHeight="1" x14ac:dyDescent="0.2"/>
    <row r="2440" ht="54" customHeight="1" x14ac:dyDescent="0.2"/>
    <row r="2441" ht="54" customHeight="1" x14ac:dyDescent="0.2"/>
    <row r="2442" ht="54" customHeight="1" x14ac:dyDescent="0.2"/>
    <row r="2443" ht="54" customHeight="1" x14ac:dyDescent="0.2"/>
    <row r="2444" ht="54" customHeight="1" x14ac:dyDescent="0.2"/>
    <row r="2445" ht="54" customHeight="1" x14ac:dyDescent="0.2"/>
    <row r="2446" ht="54" customHeight="1" x14ac:dyDescent="0.2"/>
    <row r="2447" ht="54" customHeight="1" x14ac:dyDescent="0.2"/>
    <row r="2448" ht="54" customHeight="1" x14ac:dyDescent="0.2"/>
    <row r="2449" ht="54" customHeight="1" x14ac:dyDescent="0.2"/>
    <row r="2450" ht="54" customHeight="1" x14ac:dyDescent="0.2"/>
    <row r="2451" ht="54" customHeight="1" x14ac:dyDescent="0.2"/>
    <row r="2452" ht="54" customHeight="1" x14ac:dyDescent="0.2"/>
    <row r="2453" ht="54" customHeight="1" x14ac:dyDescent="0.2"/>
    <row r="2454" ht="54" customHeight="1" x14ac:dyDescent="0.2"/>
    <row r="2455" ht="54" customHeight="1" x14ac:dyDescent="0.2"/>
    <row r="2456" ht="54" customHeight="1" x14ac:dyDescent="0.2"/>
    <row r="2457" ht="54" customHeight="1" x14ac:dyDescent="0.2"/>
    <row r="2458" ht="54" customHeight="1" x14ac:dyDescent="0.2"/>
    <row r="2459" ht="54" customHeight="1" x14ac:dyDescent="0.2"/>
    <row r="2460" ht="54" customHeight="1" x14ac:dyDescent="0.2"/>
    <row r="2461" ht="54" customHeight="1" x14ac:dyDescent="0.2"/>
    <row r="2462" ht="54" customHeight="1" x14ac:dyDescent="0.2"/>
    <row r="2463" ht="54" customHeight="1" x14ac:dyDescent="0.2"/>
    <row r="2464" ht="54" customHeight="1" x14ac:dyDescent="0.2"/>
    <row r="2465" ht="54" customHeight="1" x14ac:dyDescent="0.2"/>
    <row r="2466" ht="54" customHeight="1" x14ac:dyDescent="0.2"/>
    <row r="2467" ht="54" customHeight="1" x14ac:dyDescent="0.2"/>
    <row r="2468" ht="54" customHeight="1" x14ac:dyDescent="0.2"/>
    <row r="2469" ht="54" customHeight="1" x14ac:dyDescent="0.2"/>
    <row r="2470" ht="54" customHeight="1" x14ac:dyDescent="0.2"/>
    <row r="2471" ht="54" customHeight="1" x14ac:dyDescent="0.2"/>
    <row r="2472" ht="54" customHeight="1" x14ac:dyDescent="0.2"/>
    <row r="2473" ht="54" customHeight="1" x14ac:dyDescent="0.2"/>
    <row r="2474" ht="54" customHeight="1" x14ac:dyDescent="0.2"/>
    <row r="2475" ht="54" customHeight="1" x14ac:dyDescent="0.2"/>
    <row r="2476" ht="54" customHeight="1" x14ac:dyDescent="0.2"/>
    <row r="2477" ht="54" customHeight="1" x14ac:dyDescent="0.2"/>
    <row r="2478" ht="54" customHeight="1" x14ac:dyDescent="0.2"/>
    <row r="2479" ht="54" customHeight="1" x14ac:dyDescent="0.2"/>
    <row r="2480" ht="54" customHeight="1" x14ac:dyDescent="0.2"/>
    <row r="2481" ht="54" customHeight="1" x14ac:dyDescent="0.2"/>
    <row r="2482" ht="54" customHeight="1" x14ac:dyDescent="0.2"/>
    <row r="2483" ht="54" customHeight="1" x14ac:dyDescent="0.2"/>
    <row r="2484" ht="54" customHeight="1" x14ac:dyDescent="0.2"/>
    <row r="2485" ht="54" customHeight="1" x14ac:dyDescent="0.2"/>
    <row r="2486" ht="54" customHeight="1" x14ac:dyDescent="0.2"/>
    <row r="2487" ht="54" customHeight="1" x14ac:dyDescent="0.2"/>
    <row r="2488" ht="54" customHeight="1" x14ac:dyDescent="0.2"/>
    <row r="2489" ht="54" customHeight="1" x14ac:dyDescent="0.2"/>
    <row r="2490" ht="54" customHeight="1" x14ac:dyDescent="0.2"/>
    <row r="2491" ht="54" customHeight="1" x14ac:dyDescent="0.2"/>
    <row r="2492" ht="54" customHeight="1" x14ac:dyDescent="0.2"/>
    <row r="2493" ht="54" customHeight="1" x14ac:dyDescent="0.2"/>
    <row r="2494" ht="54" customHeight="1" x14ac:dyDescent="0.2"/>
    <row r="2495" ht="54" customHeight="1" x14ac:dyDescent="0.2"/>
    <row r="2496" ht="54" customHeight="1" x14ac:dyDescent="0.2"/>
    <row r="2497" ht="54" customHeight="1" x14ac:dyDescent="0.2"/>
    <row r="2498" ht="54" customHeight="1" x14ac:dyDescent="0.2"/>
    <row r="2499" ht="54" customHeight="1" x14ac:dyDescent="0.2"/>
    <row r="2500" ht="54" customHeight="1" x14ac:dyDescent="0.2"/>
    <row r="2501" ht="54" customHeight="1" x14ac:dyDescent="0.2"/>
    <row r="2502" ht="54" customHeight="1" x14ac:dyDescent="0.2"/>
    <row r="2503" ht="54" customHeight="1" x14ac:dyDescent="0.2"/>
    <row r="2504" ht="54" customHeight="1" x14ac:dyDescent="0.2"/>
    <row r="2505" ht="54" customHeight="1" x14ac:dyDescent="0.2"/>
    <row r="2506" ht="54" customHeight="1" x14ac:dyDescent="0.2"/>
    <row r="2507" ht="54" customHeight="1" x14ac:dyDescent="0.2"/>
    <row r="2508" ht="54" customHeight="1" x14ac:dyDescent="0.2"/>
    <row r="2509" ht="54" customHeight="1" x14ac:dyDescent="0.2"/>
    <row r="2510" ht="54" customHeight="1" x14ac:dyDescent="0.2"/>
    <row r="2511" ht="54" customHeight="1" x14ac:dyDescent="0.2"/>
    <row r="2512" ht="54" customHeight="1" x14ac:dyDescent="0.2"/>
    <row r="2513" ht="54" customHeight="1" x14ac:dyDescent="0.2"/>
    <row r="2514" ht="54" customHeight="1" x14ac:dyDescent="0.2"/>
    <row r="2515" ht="54" customHeight="1" x14ac:dyDescent="0.2"/>
    <row r="2516" ht="54" customHeight="1" x14ac:dyDescent="0.2"/>
    <row r="2517" ht="54" customHeight="1" x14ac:dyDescent="0.2"/>
    <row r="2518" ht="54" customHeight="1" x14ac:dyDescent="0.2"/>
    <row r="2519" ht="54" customHeight="1" x14ac:dyDescent="0.2"/>
    <row r="2520" ht="54" customHeight="1" x14ac:dyDescent="0.2"/>
    <row r="2521" ht="54" customHeight="1" x14ac:dyDescent="0.2"/>
    <row r="2522" ht="54" customHeight="1" x14ac:dyDescent="0.2"/>
    <row r="2523" ht="54" customHeight="1" x14ac:dyDescent="0.2"/>
    <row r="2524" ht="54" customHeight="1" x14ac:dyDescent="0.2"/>
    <row r="2525" ht="54" customHeight="1" x14ac:dyDescent="0.2"/>
    <row r="2526" ht="54" customHeight="1" x14ac:dyDescent="0.2"/>
    <row r="2527" ht="54" customHeight="1" x14ac:dyDescent="0.2"/>
    <row r="2528" ht="54" customHeight="1" x14ac:dyDescent="0.2"/>
    <row r="2529" ht="54" customHeight="1" x14ac:dyDescent="0.2"/>
    <row r="2530" ht="54" customHeight="1" x14ac:dyDescent="0.2"/>
    <row r="2531" ht="54" customHeight="1" x14ac:dyDescent="0.2"/>
    <row r="2532" ht="54" customHeight="1" x14ac:dyDescent="0.2"/>
    <row r="2533" ht="54" customHeight="1" x14ac:dyDescent="0.2"/>
    <row r="2534" ht="54" customHeight="1" x14ac:dyDescent="0.2"/>
    <row r="2535" ht="54" customHeight="1" x14ac:dyDescent="0.2"/>
    <row r="2536" ht="54" customHeight="1" x14ac:dyDescent="0.2"/>
    <row r="2537" ht="54" customHeight="1" x14ac:dyDescent="0.2"/>
    <row r="2538" ht="54" customHeight="1" x14ac:dyDescent="0.2"/>
    <row r="2539" ht="54" customHeight="1" x14ac:dyDescent="0.2"/>
    <row r="2540" ht="54" customHeight="1" x14ac:dyDescent="0.2"/>
    <row r="2541" ht="54" customHeight="1" x14ac:dyDescent="0.2"/>
    <row r="2542" ht="54" customHeight="1" x14ac:dyDescent="0.2"/>
    <row r="2543" ht="54" customHeight="1" x14ac:dyDescent="0.2"/>
    <row r="2544" ht="54" customHeight="1" x14ac:dyDescent="0.2"/>
    <row r="2545" ht="54" customHeight="1" x14ac:dyDescent="0.2"/>
    <row r="2546" ht="54" customHeight="1" x14ac:dyDescent="0.2"/>
    <row r="2547" ht="54" customHeight="1" x14ac:dyDescent="0.2"/>
    <row r="2548" ht="54" customHeight="1" x14ac:dyDescent="0.2"/>
    <row r="2549" ht="54" customHeight="1" x14ac:dyDescent="0.2"/>
    <row r="2550" ht="54" customHeight="1" x14ac:dyDescent="0.2"/>
    <row r="2551" ht="54" customHeight="1" x14ac:dyDescent="0.2"/>
    <row r="2552" ht="54" customHeight="1" x14ac:dyDescent="0.2"/>
    <row r="2553" ht="54" customHeight="1" x14ac:dyDescent="0.2"/>
    <row r="2554" ht="54" customHeight="1" x14ac:dyDescent="0.2"/>
    <row r="2555" ht="54" customHeight="1" x14ac:dyDescent="0.2"/>
    <row r="2556" ht="54" customHeight="1" x14ac:dyDescent="0.2"/>
    <row r="2557" ht="54" customHeight="1" x14ac:dyDescent="0.2"/>
    <row r="2558" ht="54" customHeight="1" x14ac:dyDescent="0.2"/>
    <row r="2559" ht="54" customHeight="1" x14ac:dyDescent="0.2"/>
    <row r="2560" ht="54" customHeight="1" x14ac:dyDescent="0.2"/>
    <row r="2561" ht="54" customHeight="1" x14ac:dyDescent="0.2"/>
    <row r="2562" ht="54" customHeight="1" x14ac:dyDescent="0.2"/>
    <row r="2563" ht="54" customHeight="1" x14ac:dyDescent="0.2"/>
    <row r="2564" ht="54" customHeight="1" x14ac:dyDescent="0.2"/>
    <row r="2565" ht="54" customHeight="1" x14ac:dyDescent="0.2"/>
    <row r="2566" ht="54" customHeight="1" x14ac:dyDescent="0.2"/>
    <row r="2567" ht="54" customHeight="1" x14ac:dyDescent="0.2"/>
    <row r="2568" ht="54" customHeight="1" x14ac:dyDescent="0.2"/>
    <row r="2569" ht="54" customHeight="1" x14ac:dyDescent="0.2"/>
    <row r="2570" ht="54" customHeight="1" x14ac:dyDescent="0.2"/>
    <row r="2571" ht="54" customHeight="1" x14ac:dyDescent="0.2"/>
    <row r="2572" ht="54" customHeight="1" x14ac:dyDescent="0.2"/>
    <row r="2573" ht="54" customHeight="1" x14ac:dyDescent="0.2"/>
    <row r="2574" ht="54" customHeight="1" x14ac:dyDescent="0.2"/>
    <row r="2575" ht="54" customHeight="1" x14ac:dyDescent="0.2"/>
    <row r="2576" ht="54" customHeight="1" x14ac:dyDescent="0.2"/>
    <row r="2577" ht="54" customHeight="1" x14ac:dyDescent="0.2"/>
    <row r="2578" ht="54" customHeight="1" x14ac:dyDescent="0.2"/>
    <row r="2579" ht="54" customHeight="1" x14ac:dyDescent="0.2"/>
    <row r="2580" ht="54" customHeight="1" x14ac:dyDescent="0.2"/>
    <row r="2581" ht="54" customHeight="1" x14ac:dyDescent="0.2"/>
    <row r="2582" ht="54" customHeight="1" x14ac:dyDescent="0.2"/>
    <row r="2583" ht="54" customHeight="1" x14ac:dyDescent="0.2"/>
    <row r="2584" ht="54" customHeight="1" x14ac:dyDescent="0.2"/>
    <row r="2585" ht="54" customHeight="1" x14ac:dyDescent="0.2"/>
    <row r="2586" ht="54" customHeight="1" x14ac:dyDescent="0.2"/>
    <row r="2587" ht="54" customHeight="1" x14ac:dyDescent="0.2"/>
    <row r="2588" ht="54" customHeight="1" x14ac:dyDescent="0.2"/>
    <row r="2589" ht="54" customHeight="1" x14ac:dyDescent="0.2"/>
    <row r="2590" ht="54" customHeight="1" x14ac:dyDescent="0.2"/>
    <row r="2591" ht="54" customHeight="1" x14ac:dyDescent="0.2"/>
    <row r="2592" ht="54" customHeight="1" x14ac:dyDescent="0.2"/>
    <row r="2593" ht="54" customHeight="1" x14ac:dyDescent="0.2"/>
    <row r="2594" ht="54" customHeight="1" x14ac:dyDescent="0.2"/>
    <row r="2595" ht="54" customHeight="1" x14ac:dyDescent="0.2"/>
    <row r="2596" ht="54" customHeight="1" x14ac:dyDescent="0.2"/>
    <row r="2597" ht="54" customHeight="1" x14ac:dyDescent="0.2"/>
    <row r="2598" ht="54" customHeight="1" x14ac:dyDescent="0.2"/>
    <row r="2599" ht="54" customHeight="1" x14ac:dyDescent="0.2"/>
    <row r="2600" ht="54" customHeight="1" x14ac:dyDescent="0.2"/>
    <row r="2601" ht="54" customHeight="1" x14ac:dyDescent="0.2"/>
    <row r="2602" ht="54" customHeight="1" x14ac:dyDescent="0.2"/>
    <row r="2603" ht="54" customHeight="1" x14ac:dyDescent="0.2"/>
    <row r="2604" ht="54" customHeight="1" x14ac:dyDescent="0.2"/>
    <row r="2605" ht="54" customHeight="1" x14ac:dyDescent="0.2"/>
    <row r="2606" ht="54" customHeight="1" x14ac:dyDescent="0.2"/>
    <row r="2607" ht="54" customHeight="1" x14ac:dyDescent="0.2"/>
    <row r="2608" ht="54" customHeight="1" x14ac:dyDescent="0.2"/>
    <row r="2609" ht="54" customHeight="1" x14ac:dyDescent="0.2"/>
    <row r="2610" ht="54" customHeight="1" x14ac:dyDescent="0.2"/>
    <row r="2611" ht="54" customHeight="1" x14ac:dyDescent="0.2"/>
    <row r="2612" ht="54" customHeight="1" x14ac:dyDescent="0.2"/>
    <row r="2613" ht="54" customHeight="1" x14ac:dyDescent="0.2"/>
    <row r="2614" ht="54" customHeight="1" x14ac:dyDescent="0.2"/>
    <row r="2615" ht="54" customHeight="1" x14ac:dyDescent="0.2"/>
    <row r="2616" ht="54" customHeight="1" x14ac:dyDescent="0.2"/>
    <row r="2617" ht="54" customHeight="1" x14ac:dyDescent="0.2"/>
    <row r="2618" ht="54" customHeight="1" x14ac:dyDescent="0.2"/>
    <row r="2619" ht="54" customHeight="1" x14ac:dyDescent="0.2"/>
    <row r="2620" ht="54" customHeight="1" x14ac:dyDescent="0.2"/>
    <row r="2621" ht="54" customHeight="1" x14ac:dyDescent="0.2"/>
    <row r="2622" ht="54" customHeight="1" x14ac:dyDescent="0.2"/>
    <row r="2623" ht="54" customHeight="1" x14ac:dyDescent="0.2"/>
    <row r="2624" ht="54" customHeight="1" x14ac:dyDescent="0.2"/>
    <row r="2625" ht="54" customHeight="1" x14ac:dyDescent="0.2"/>
    <row r="2626" ht="54" customHeight="1" x14ac:dyDescent="0.2"/>
    <row r="2627" ht="54" customHeight="1" x14ac:dyDescent="0.2"/>
    <row r="2628" ht="54" customHeight="1" x14ac:dyDescent="0.2"/>
    <row r="2629" ht="54" customHeight="1" x14ac:dyDescent="0.2"/>
    <row r="2630" ht="54" customHeight="1" x14ac:dyDescent="0.2"/>
    <row r="2631" ht="54" customHeight="1" x14ac:dyDescent="0.2"/>
    <row r="2632" ht="54" customHeight="1" x14ac:dyDescent="0.2"/>
    <row r="2633" ht="54" customHeight="1" x14ac:dyDescent="0.2"/>
    <row r="2634" ht="54" customHeight="1" x14ac:dyDescent="0.2"/>
    <row r="2635" ht="54" customHeight="1" x14ac:dyDescent="0.2"/>
    <row r="2636" ht="54" customHeight="1" x14ac:dyDescent="0.2"/>
    <row r="2637" ht="54" customHeight="1" x14ac:dyDescent="0.2"/>
    <row r="2638" ht="54" customHeight="1" x14ac:dyDescent="0.2"/>
    <row r="2639" ht="54" customHeight="1" x14ac:dyDescent="0.2"/>
    <row r="2640" ht="54" customHeight="1" x14ac:dyDescent="0.2"/>
    <row r="2641" ht="54" customHeight="1" x14ac:dyDescent="0.2"/>
    <row r="2642" ht="54" customHeight="1" x14ac:dyDescent="0.2"/>
    <row r="2643" ht="54" customHeight="1" x14ac:dyDescent="0.2"/>
    <row r="2644" ht="54" customHeight="1" x14ac:dyDescent="0.2"/>
    <row r="2645" ht="54" customHeight="1" x14ac:dyDescent="0.2"/>
    <row r="2646" ht="54" customHeight="1" x14ac:dyDescent="0.2"/>
    <row r="2647" ht="54" customHeight="1" x14ac:dyDescent="0.2"/>
    <row r="2648" ht="54" customHeight="1" x14ac:dyDescent="0.2"/>
    <row r="2649" ht="54" customHeight="1" x14ac:dyDescent="0.2"/>
    <row r="2650" ht="54" customHeight="1" x14ac:dyDescent="0.2"/>
    <row r="2651" ht="54" customHeight="1" x14ac:dyDescent="0.2"/>
    <row r="2652" ht="54" customHeight="1" x14ac:dyDescent="0.2"/>
    <row r="2653" ht="54" customHeight="1" x14ac:dyDescent="0.2"/>
    <row r="2654" ht="54" customHeight="1" x14ac:dyDescent="0.2"/>
    <row r="2655" ht="54" customHeight="1" x14ac:dyDescent="0.2"/>
    <row r="2656" ht="54" customHeight="1" x14ac:dyDescent="0.2"/>
    <row r="2657" ht="54" customHeight="1" x14ac:dyDescent="0.2"/>
    <row r="2658" ht="54" customHeight="1" x14ac:dyDescent="0.2"/>
    <row r="2659" ht="54" customHeight="1" x14ac:dyDescent="0.2"/>
    <row r="2660" ht="54" customHeight="1" x14ac:dyDescent="0.2"/>
    <row r="2661" ht="54" customHeight="1" x14ac:dyDescent="0.2"/>
    <row r="2662" ht="54" customHeight="1" x14ac:dyDescent="0.2"/>
    <row r="2663" ht="54" customHeight="1" x14ac:dyDescent="0.2"/>
    <row r="2664" ht="54" customHeight="1" x14ac:dyDescent="0.2"/>
    <row r="2665" ht="54" customHeight="1" x14ac:dyDescent="0.2"/>
    <row r="2666" ht="54" customHeight="1" x14ac:dyDescent="0.2"/>
    <row r="2667" ht="54" customHeight="1" x14ac:dyDescent="0.2"/>
    <row r="2668" ht="54" customHeight="1" x14ac:dyDescent="0.2"/>
    <row r="2669" ht="54" customHeight="1" x14ac:dyDescent="0.2"/>
    <row r="2670" ht="54" customHeight="1" x14ac:dyDescent="0.2"/>
    <row r="2671" ht="54" customHeight="1" x14ac:dyDescent="0.2"/>
    <row r="2672" ht="54" customHeight="1" x14ac:dyDescent="0.2"/>
    <row r="2673" ht="54" customHeight="1" x14ac:dyDescent="0.2"/>
    <row r="2674" ht="54" customHeight="1" x14ac:dyDescent="0.2"/>
    <row r="2675" ht="54" customHeight="1" x14ac:dyDescent="0.2"/>
    <row r="2676" ht="54" customHeight="1" x14ac:dyDescent="0.2"/>
    <row r="2677" ht="54" customHeight="1" x14ac:dyDescent="0.2"/>
    <row r="2678" ht="54" customHeight="1" x14ac:dyDescent="0.2"/>
    <row r="2679" ht="54" customHeight="1" x14ac:dyDescent="0.2"/>
    <row r="2680" ht="54" customHeight="1" x14ac:dyDescent="0.2"/>
    <row r="2681" ht="54" customHeight="1" x14ac:dyDescent="0.2"/>
    <row r="2682" ht="54" customHeight="1" x14ac:dyDescent="0.2"/>
    <row r="2683" ht="54" customHeight="1" x14ac:dyDescent="0.2"/>
    <row r="2684" ht="54" customHeight="1" x14ac:dyDescent="0.2"/>
    <row r="2685" ht="54" customHeight="1" x14ac:dyDescent="0.2"/>
    <row r="2686" ht="54" customHeight="1" x14ac:dyDescent="0.2"/>
    <row r="2687" ht="54" customHeight="1" x14ac:dyDescent="0.2"/>
    <row r="2688" ht="54" customHeight="1" x14ac:dyDescent="0.2"/>
    <row r="2689" ht="54" customHeight="1" x14ac:dyDescent="0.2"/>
    <row r="2690" ht="54" customHeight="1" x14ac:dyDescent="0.2"/>
    <row r="2691" ht="54" customHeight="1" x14ac:dyDescent="0.2"/>
    <row r="2692" ht="54" customHeight="1" x14ac:dyDescent="0.2"/>
    <row r="2693" ht="54" customHeight="1" x14ac:dyDescent="0.2"/>
    <row r="2694" ht="54" customHeight="1" x14ac:dyDescent="0.2"/>
    <row r="2695" ht="54" customHeight="1" x14ac:dyDescent="0.2"/>
    <row r="2696" ht="54" customHeight="1" x14ac:dyDescent="0.2"/>
    <row r="2697" ht="54" customHeight="1" x14ac:dyDescent="0.2"/>
    <row r="2698" ht="54" customHeight="1" x14ac:dyDescent="0.2"/>
    <row r="2699" ht="54" customHeight="1" x14ac:dyDescent="0.2"/>
    <row r="2700" ht="54" customHeight="1" x14ac:dyDescent="0.2"/>
    <row r="2701" ht="54" customHeight="1" x14ac:dyDescent="0.2"/>
    <row r="2702" ht="54" customHeight="1" x14ac:dyDescent="0.2"/>
    <row r="2703" ht="54" customHeight="1" x14ac:dyDescent="0.2"/>
    <row r="2704" ht="54" customHeight="1" x14ac:dyDescent="0.2"/>
    <row r="2705" ht="54" customHeight="1" x14ac:dyDescent="0.2"/>
    <row r="2706" ht="54" customHeight="1" x14ac:dyDescent="0.2"/>
    <row r="2707" ht="54" customHeight="1" x14ac:dyDescent="0.2"/>
    <row r="2708" ht="54" customHeight="1" x14ac:dyDescent="0.2"/>
    <row r="2709" ht="54" customHeight="1" x14ac:dyDescent="0.2"/>
    <row r="2710" ht="54" customHeight="1" x14ac:dyDescent="0.2"/>
    <row r="2711" ht="54" customHeight="1" x14ac:dyDescent="0.2"/>
    <row r="2712" ht="54" customHeight="1" x14ac:dyDescent="0.2"/>
    <row r="2713" ht="54" customHeight="1" x14ac:dyDescent="0.2"/>
    <row r="2714" ht="54" customHeight="1" x14ac:dyDescent="0.2"/>
    <row r="2715" ht="54" customHeight="1" x14ac:dyDescent="0.2"/>
    <row r="2716" ht="54" customHeight="1" x14ac:dyDescent="0.2"/>
    <row r="2717" ht="54" customHeight="1" x14ac:dyDescent="0.2"/>
    <row r="2718" ht="54" customHeight="1" x14ac:dyDescent="0.2"/>
    <row r="2719" ht="54" customHeight="1" x14ac:dyDescent="0.2"/>
    <row r="2720" ht="54" customHeight="1" x14ac:dyDescent="0.2"/>
    <row r="2721" ht="54" customHeight="1" x14ac:dyDescent="0.2"/>
    <row r="2722" ht="54" customHeight="1" x14ac:dyDescent="0.2"/>
    <row r="2723" ht="54" customHeight="1" x14ac:dyDescent="0.2"/>
    <row r="2724" ht="54" customHeight="1" x14ac:dyDescent="0.2"/>
    <row r="2725" ht="54" customHeight="1" x14ac:dyDescent="0.2"/>
    <row r="2726" ht="54" customHeight="1" x14ac:dyDescent="0.2"/>
    <row r="2727" ht="54" customHeight="1" x14ac:dyDescent="0.2"/>
    <row r="2728" ht="54" customHeight="1" x14ac:dyDescent="0.2"/>
    <row r="2729" ht="54" customHeight="1" x14ac:dyDescent="0.2"/>
    <row r="2730" ht="54" customHeight="1" x14ac:dyDescent="0.2"/>
    <row r="2731" ht="54" customHeight="1" x14ac:dyDescent="0.2"/>
    <row r="2732" ht="54" customHeight="1" x14ac:dyDescent="0.2"/>
    <row r="2733" ht="54" customHeight="1" x14ac:dyDescent="0.2"/>
    <row r="2734" ht="54" customHeight="1" x14ac:dyDescent="0.2"/>
    <row r="2735" ht="54" customHeight="1" x14ac:dyDescent="0.2"/>
    <row r="2736" ht="54" customHeight="1" x14ac:dyDescent="0.2"/>
    <row r="2737" ht="54" customHeight="1" x14ac:dyDescent="0.2"/>
    <row r="2738" ht="54" customHeight="1" x14ac:dyDescent="0.2"/>
    <row r="2739" ht="54" customHeight="1" x14ac:dyDescent="0.2"/>
    <row r="2740" ht="54" customHeight="1" x14ac:dyDescent="0.2"/>
    <row r="2741" ht="54" customHeight="1" x14ac:dyDescent="0.2"/>
    <row r="2742" ht="54" customHeight="1" x14ac:dyDescent="0.2"/>
    <row r="2743" ht="54" customHeight="1" x14ac:dyDescent="0.2"/>
    <row r="2744" ht="54" customHeight="1" x14ac:dyDescent="0.2"/>
    <row r="2745" ht="54" customHeight="1" x14ac:dyDescent="0.2"/>
    <row r="2746" ht="54" customHeight="1" x14ac:dyDescent="0.2"/>
    <row r="2747" ht="54" customHeight="1" x14ac:dyDescent="0.2"/>
    <row r="2748" ht="54" customHeight="1" x14ac:dyDescent="0.2"/>
    <row r="2749" ht="54" customHeight="1" x14ac:dyDescent="0.2"/>
    <row r="2750" ht="54" customHeight="1" x14ac:dyDescent="0.2"/>
    <row r="2751" ht="54" customHeight="1" x14ac:dyDescent="0.2"/>
    <row r="2752" ht="54" customHeight="1" x14ac:dyDescent="0.2"/>
    <row r="2753" ht="54" customHeight="1" x14ac:dyDescent="0.2"/>
    <row r="2754" ht="54" customHeight="1" x14ac:dyDescent="0.2"/>
    <row r="2755" ht="54" customHeight="1" x14ac:dyDescent="0.2"/>
    <row r="2756" ht="54" customHeight="1" x14ac:dyDescent="0.2"/>
    <row r="2757" ht="54" customHeight="1" x14ac:dyDescent="0.2"/>
    <row r="2758" ht="54" customHeight="1" x14ac:dyDescent="0.2"/>
    <row r="2759" ht="54" customHeight="1" x14ac:dyDescent="0.2"/>
    <row r="2760" ht="54" customHeight="1" x14ac:dyDescent="0.2"/>
    <row r="2761" ht="54" customHeight="1" x14ac:dyDescent="0.2"/>
    <row r="2762" ht="54" customHeight="1" x14ac:dyDescent="0.2"/>
    <row r="2763" ht="54" customHeight="1" x14ac:dyDescent="0.2"/>
    <row r="2764" ht="54" customHeight="1" x14ac:dyDescent="0.2"/>
    <row r="2765" ht="54" customHeight="1" x14ac:dyDescent="0.2"/>
    <row r="2766" ht="54" customHeight="1" x14ac:dyDescent="0.2"/>
    <row r="2767" ht="54" customHeight="1" x14ac:dyDescent="0.2"/>
    <row r="2768" ht="54" customHeight="1" x14ac:dyDescent="0.2"/>
    <row r="2769" ht="54" customHeight="1" x14ac:dyDescent="0.2"/>
    <row r="2770" ht="54" customHeight="1" x14ac:dyDescent="0.2"/>
    <row r="2771" ht="54" customHeight="1" x14ac:dyDescent="0.2"/>
    <row r="2772" ht="54" customHeight="1" x14ac:dyDescent="0.2"/>
    <row r="2773" ht="54" customHeight="1" x14ac:dyDescent="0.2"/>
    <row r="2774" ht="54" customHeight="1" x14ac:dyDescent="0.2"/>
    <row r="2775" ht="54" customHeight="1" x14ac:dyDescent="0.2"/>
    <row r="2776" ht="54" customHeight="1" x14ac:dyDescent="0.2"/>
    <row r="2777" ht="54" customHeight="1" x14ac:dyDescent="0.2"/>
    <row r="2778" ht="54" customHeight="1" x14ac:dyDescent="0.2"/>
    <row r="2779" ht="54" customHeight="1" x14ac:dyDescent="0.2"/>
    <row r="2780" ht="54" customHeight="1" x14ac:dyDescent="0.2"/>
    <row r="2781" ht="54" customHeight="1" x14ac:dyDescent="0.2"/>
    <row r="2782" ht="54" customHeight="1" x14ac:dyDescent="0.2"/>
    <row r="2783" ht="54" customHeight="1" x14ac:dyDescent="0.2"/>
    <row r="2784" ht="54" customHeight="1" x14ac:dyDescent="0.2"/>
    <row r="2785" ht="54" customHeight="1" x14ac:dyDescent="0.2"/>
    <row r="2786" ht="54" customHeight="1" x14ac:dyDescent="0.2"/>
    <row r="2787" ht="54" customHeight="1" x14ac:dyDescent="0.2"/>
    <row r="2788" ht="54" customHeight="1" x14ac:dyDescent="0.2"/>
    <row r="2789" ht="54" customHeight="1" x14ac:dyDescent="0.2"/>
    <row r="2790" ht="54" customHeight="1" x14ac:dyDescent="0.2"/>
    <row r="2791" ht="54" customHeight="1" x14ac:dyDescent="0.2"/>
    <row r="2792" ht="54" customHeight="1" x14ac:dyDescent="0.2"/>
    <row r="2793" ht="54" customHeight="1" x14ac:dyDescent="0.2"/>
    <row r="2794" ht="54" customHeight="1" x14ac:dyDescent="0.2"/>
    <row r="2795" ht="54" customHeight="1" x14ac:dyDescent="0.2"/>
    <row r="2796" ht="54" customHeight="1" x14ac:dyDescent="0.2"/>
    <row r="2797" ht="54" customHeight="1" x14ac:dyDescent="0.2"/>
    <row r="2798" ht="54" customHeight="1" x14ac:dyDescent="0.2"/>
    <row r="2799" ht="54" customHeight="1" x14ac:dyDescent="0.2"/>
    <row r="2800" ht="54" customHeight="1" x14ac:dyDescent="0.2"/>
    <row r="2801" ht="54" customHeight="1" x14ac:dyDescent="0.2"/>
    <row r="2802" ht="54" customHeight="1" x14ac:dyDescent="0.2"/>
    <row r="2803" ht="54" customHeight="1" x14ac:dyDescent="0.2"/>
    <row r="2804" ht="54" customHeight="1" x14ac:dyDescent="0.2"/>
    <row r="2805" ht="54" customHeight="1" x14ac:dyDescent="0.2"/>
    <row r="2806" ht="54" customHeight="1" x14ac:dyDescent="0.2"/>
    <row r="2807" ht="54" customHeight="1" x14ac:dyDescent="0.2"/>
    <row r="2808" ht="54" customHeight="1" x14ac:dyDescent="0.2"/>
    <row r="2809" ht="54" customHeight="1" x14ac:dyDescent="0.2"/>
    <row r="2810" ht="54" customHeight="1" x14ac:dyDescent="0.2"/>
    <row r="2811" ht="54" customHeight="1" x14ac:dyDescent="0.2"/>
    <row r="2812" ht="54" customHeight="1" x14ac:dyDescent="0.2"/>
    <row r="2813" ht="54" customHeight="1" x14ac:dyDescent="0.2"/>
    <row r="2814" ht="54" customHeight="1" x14ac:dyDescent="0.2"/>
    <row r="2815" ht="54" customHeight="1" x14ac:dyDescent="0.2"/>
    <row r="2816" ht="54" customHeight="1" x14ac:dyDescent="0.2"/>
    <row r="2817" ht="54" customHeight="1" x14ac:dyDescent="0.2"/>
    <row r="2818" ht="54" customHeight="1" x14ac:dyDescent="0.2"/>
    <row r="2819" ht="54" customHeight="1" x14ac:dyDescent="0.2"/>
    <row r="2820" ht="54" customHeight="1" x14ac:dyDescent="0.2"/>
    <row r="2821" ht="54" customHeight="1" x14ac:dyDescent="0.2"/>
    <row r="2822" ht="54" customHeight="1" x14ac:dyDescent="0.2"/>
    <row r="2823" ht="54" customHeight="1" x14ac:dyDescent="0.2"/>
    <row r="2824" ht="54" customHeight="1" x14ac:dyDescent="0.2"/>
    <row r="2825" ht="54" customHeight="1" x14ac:dyDescent="0.2"/>
    <row r="2826" ht="54" customHeight="1" x14ac:dyDescent="0.2"/>
    <row r="2827" ht="54" customHeight="1" x14ac:dyDescent="0.2"/>
    <row r="2828" ht="54" customHeight="1" x14ac:dyDescent="0.2"/>
    <row r="2829" ht="54" customHeight="1" x14ac:dyDescent="0.2"/>
    <row r="2830" ht="54" customHeight="1" x14ac:dyDescent="0.2"/>
    <row r="2831" ht="54" customHeight="1" x14ac:dyDescent="0.2"/>
    <row r="2832" ht="54" customHeight="1" x14ac:dyDescent="0.2"/>
    <row r="2833" ht="54" customHeight="1" x14ac:dyDescent="0.2"/>
    <row r="2834" ht="54" customHeight="1" x14ac:dyDescent="0.2"/>
    <row r="2835" ht="54" customHeight="1" x14ac:dyDescent="0.2"/>
    <row r="2836" ht="54" customHeight="1" x14ac:dyDescent="0.2"/>
    <row r="2837" ht="54" customHeight="1" x14ac:dyDescent="0.2"/>
    <row r="2838" ht="54" customHeight="1" x14ac:dyDescent="0.2"/>
    <row r="2839" ht="54" customHeight="1" x14ac:dyDescent="0.2"/>
    <row r="2840" ht="54" customHeight="1" x14ac:dyDescent="0.2"/>
    <row r="2841" ht="54" customHeight="1" x14ac:dyDescent="0.2"/>
    <row r="2842" ht="54" customHeight="1" x14ac:dyDescent="0.2"/>
    <row r="2843" ht="54" customHeight="1" x14ac:dyDescent="0.2"/>
    <row r="2844" ht="54" customHeight="1" x14ac:dyDescent="0.2"/>
    <row r="2845" ht="54" customHeight="1" x14ac:dyDescent="0.2"/>
    <row r="2846" ht="54" customHeight="1" x14ac:dyDescent="0.2"/>
    <row r="2847" ht="54" customHeight="1" x14ac:dyDescent="0.2"/>
    <row r="2848" ht="54" customHeight="1" x14ac:dyDescent="0.2"/>
    <row r="2849" ht="54" customHeight="1" x14ac:dyDescent="0.2"/>
    <row r="2850" ht="54" customHeight="1" x14ac:dyDescent="0.2"/>
    <row r="2851" ht="54" customHeight="1" x14ac:dyDescent="0.2"/>
    <row r="2852" ht="54" customHeight="1" x14ac:dyDescent="0.2"/>
    <row r="2853" ht="54" customHeight="1" x14ac:dyDescent="0.2"/>
    <row r="2854" ht="54" customHeight="1" x14ac:dyDescent="0.2"/>
    <row r="2855" ht="54" customHeight="1" x14ac:dyDescent="0.2"/>
    <row r="2856" ht="54" customHeight="1" x14ac:dyDescent="0.2"/>
    <row r="2857" ht="54" customHeight="1" x14ac:dyDescent="0.2"/>
    <row r="2858" ht="54" customHeight="1" x14ac:dyDescent="0.2"/>
    <row r="2859" ht="54" customHeight="1" x14ac:dyDescent="0.2"/>
    <row r="2860" ht="54" customHeight="1" x14ac:dyDescent="0.2"/>
    <row r="2861" ht="54" customHeight="1" x14ac:dyDescent="0.2"/>
    <row r="2862" ht="54" customHeight="1" x14ac:dyDescent="0.2"/>
    <row r="2863" ht="54" customHeight="1" x14ac:dyDescent="0.2"/>
    <row r="2864" ht="54" customHeight="1" x14ac:dyDescent="0.2"/>
    <row r="2865" ht="54" customHeight="1" x14ac:dyDescent="0.2"/>
    <row r="2866" ht="54" customHeight="1" x14ac:dyDescent="0.2"/>
    <row r="2867" ht="54" customHeight="1" x14ac:dyDescent="0.2"/>
    <row r="2868" ht="54" customHeight="1" x14ac:dyDescent="0.2"/>
    <row r="2869" ht="54" customHeight="1" x14ac:dyDescent="0.2"/>
    <row r="2870" ht="54" customHeight="1" x14ac:dyDescent="0.2"/>
    <row r="2871" ht="54" customHeight="1" x14ac:dyDescent="0.2"/>
    <row r="2872" ht="54" customHeight="1" x14ac:dyDescent="0.2"/>
    <row r="2873" ht="54" customHeight="1" x14ac:dyDescent="0.2"/>
    <row r="2874" ht="54" customHeight="1" x14ac:dyDescent="0.2"/>
    <row r="2875" ht="54" customHeight="1" x14ac:dyDescent="0.2"/>
    <row r="2876" ht="54" customHeight="1" x14ac:dyDescent="0.2"/>
    <row r="2877" ht="54" customHeight="1" x14ac:dyDescent="0.2"/>
    <row r="2878" ht="54" customHeight="1" x14ac:dyDescent="0.2"/>
    <row r="2879" ht="54" customHeight="1" x14ac:dyDescent="0.2"/>
    <row r="2880" ht="54" customHeight="1" x14ac:dyDescent="0.2"/>
    <row r="2881" ht="54" customHeight="1" x14ac:dyDescent="0.2"/>
    <row r="2882" ht="54" customHeight="1" x14ac:dyDescent="0.2"/>
    <row r="2883" ht="54" customHeight="1" x14ac:dyDescent="0.2"/>
    <row r="2884" ht="54" customHeight="1" x14ac:dyDescent="0.2"/>
    <row r="2885" ht="54" customHeight="1" x14ac:dyDescent="0.2"/>
    <row r="2886" ht="54" customHeight="1" x14ac:dyDescent="0.2"/>
    <row r="2887" ht="54" customHeight="1" x14ac:dyDescent="0.2"/>
    <row r="2888" ht="54" customHeight="1" x14ac:dyDescent="0.2"/>
    <row r="2889" ht="54" customHeight="1" x14ac:dyDescent="0.2"/>
    <row r="2890" ht="54" customHeight="1" x14ac:dyDescent="0.2"/>
    <row r="2891" ht="54" customHeight="1" x14ac:dyDescent="0.2"/>
    <row r="2892" ht="54" customHeight="1" x14ac:dyDescent="0.2"/>
    <row r="2893" ht="54" customHeight="1" x14ac:dyDescent="0.2"/>
    <row r="2894" ht="54" customHeight="1" x14ac:dyDescent="0.2"/>
    <row r="2895" ht="54" customHeight="1" x14ac:dyDescent="0.2"/>
    <row r="2896" ht="54" customHeight="1" x14ac:dyDescent="0.2"/>
    <row r="2897" ht="54" customHeight="1" x14ac:dyDescent="0.2"/>
    <row r="2898" ht="54" customHeight="1" x14ac:dyDescent="0.2"/>
    <row r="2899" ht="54" customHeight="1" x14ac:dyDescent="0.2"/>
    <row r="2900" ht="54" customHeight="1" x14ac:dyDescent="0.2"/>
    <row r="2901" ht="54" customHeight="1" x14ac:dyDescent="0.2"/>
    <row r="2902" ht="54" customHeight="1" x14ac:dyDescent="0.2"/>
    <row r="2903" ht="54" customHeight="1" x14ac:dyDescent="0.2"/>
    <row r="2904" ht="54" customHeight="1" x14ac:dyDescent="0.2"/>
    <row r="2905" ht="54" customHeight="1" x14ac:dyDescent="0.2"/>
    <row r="2906" ht="54" customHeight="1" x14ac:dyDescent="0.2"/>
    <row r="2907" ht="54" customHeight="1" x14ac:dyDescent="0.2"/>
    <row r="2908" ht="54" customHeight="1" x14ac:dyDescent="0.2"/>
    <row r="2909" ht="54" customHeight="1" x14ac:dyDescent="0.2"/>
    <row r="2910" ht="54" customHeight="1" x14ac:dyDescent="0.2"/>
    <row r="2911" ht="54" customHeight="1" x14ac:dyDescent="0.2"/>
    <row r="2912" ht="54" customHeight="1" x14ac:dyDescent="0.2"/>
    <row r="2913" ht="54" customHeight="1" x14ac:dyDescent="0.2"/>
    <row r="2914" ht="54" customHeight="1" x14ac:dyDescent="0.2"/>
    <row r="2915" ht="54" customHeight="1" x14ac:dyDescent="0.2"/>
    <row r="2916" ht="54" customHeight="1" x14ac:dyDescent="0.2"/>
    <row r="2917" ht="54" customHeight="1" x14ac:dyDescent="0.2"/>
    <row r="2918" ht="54" customHeight="1" x14ac:dyDescent="0.2"/>
    <row r="2919" ht="54" customHeight="1" x14ac:dyDescent="0.2"/>
    <row r="2920" ht="54" customHeight="1" x14ac:dyDescent="0.2"/>
    <row r="2921" ht="54" customHeight="1" x14ac:dyDescent="0.2"/>
    <row r="2922" ht="54" customHeight="1" x14ac:dyDescent="0.2"/>
    <row r="2923" ht="54" customHeight="1" x14ac:dyDescent="0.2"/>
    <row r="2924" ht="54" customHeight="1" x14ac:dyDescent="0.2"/>
    <row r="2925" ht="54" customHeight="1" x14ac:dyDescent="0.2"/>
    <row r="2926" ht="54" customHeight="1" x14ac:dyDescent="0.2"/>
    <row r="2927" ht="54" customHeight="1" x14ac:dyDescent="0.2"/>
    <row r="2928" ht="54" customHeight="1" x14ac:dyDescent="0.2"/>
    <row r="2929" ht="54" customHeight="1" x14ac:dyDescent="0.2"/>
    <row r="2930" ht="54" customHeight="1" x14ac:dyDescent="0.2"/>
    <row r="2931" ht="54" customHeight="1" x14ac:dyDescent="0.2"/>
    <row r="2932" ht="54" customHeight="1" x14ac:dyDescent="0.2"/>
    <row r="2933" ht="54" customHeight="1" x14ac:dyDescent="0.2"/>
    <row r="2934" ht="54" customHeight="1" x14ac:dyDescent="0.2"/>
    <row r="2935" ht="54" customHeight="1" x14ac:dyDescent="0.2"/>
    <row r="2936" ht="54" customHeight="1" x14ac:dyDescent="0.2"/>
    <row r="2937" ht="54" customHeight="1" x14ac:dyDescent="0.2"/>
    <row r="2938" ht="54" customHeight="1" x14ac:dyDescent="0.2"/>
    <row r="2939" ht="54" customHeight="1" x14ac:dyDescent="0.2"/>
    <row r="2940" ht="54" customHeight="1" x14ac:dyDescent="0.2"/>
    <row r="2941" ht="54" customHeight="1" x14ac:dyDescent="0.2"/>
    <row r="2942" ht="54" customHeight="1" x14ac:dyDescent="0.2"/>
    <row r="2943" ht="54" customHeight="1" x14ac:dyDescent="0.2"/>
    <row r="2944" ht="54" customHeight="1" x14ac:dyDescent="0.2"/>
    <row r="2945" ht="54" customHeight="1" x14ac:dyDescent="0.2"/>
    <row r="2946" ht="54" customHeight="1" x14ac:dyDescent="0.2"/>
    <row r="2947" ht="54" customHeight="1" x14ac:dyDescent="0.2"/>
    <row r="2948" ht="54" customHeight="1" x14ac:dyDescent="0.2"/>
    <row r="2949" ht="54" customHeight="1" x14ac:dyDescent="0.2"/>
    <row r="2950" ht="54" customHeight="1" x14ac:dyDescent="0.2"/>
    <row r="2951" ht="54" customHeight="1" x14ac:dyDescent="0.2"/>
    <row r="2952" ht="54" customHeight="1" x14ac:dyDescent="0.2"/>
    <row r="2953" ht="54" customHeight="1" x14ac:dyDescent="0.2"/>
    <row r="2954" ht="54" customHeight="1" x14ac:dyDescent="0.2"/>
    <row r="2955" ht="54" customHeight="1" x14ac:dyDescent="0.2"/>
    <row r="2956" ht="54" customHeight="1" x14ac:dyDescent="0.2"/>
    <row r="2957" ht="54" customHeight="1" x14ac:dyDescent="0.2"/>
    <row r="2958" ht="54" customHeight="1" x14ac:dyDescent="0.2"/>
    <row r="2959" ht="54" customHeight="1" x14ac:dyDescent="0.2"/>
    <row r="2960" ht="54" customHeight="1" x14ac:dyDescent="0.2"/>
    <row r="2961" ht="54" customHeight="1" x14ac:dyDescent="0.2"/>
    <row r="2962" ht="54" customHeight="1" x14ac:dyDescent="0.2"/>
    <row r="2963" ht="54" customHeight="1" x14ac:dyDescent="0.2"/>
    <row r="2964" ht="54" customHeight="1" x14ac:dyDescent="0.2"/>
    <row r="2965" ht="54" customHeight="1" x14ac:dyDescent="0.2"/>
    <row r="2966" ht="54" customHeight="1" x14ac:dyDescent="0.2"/>
    <row r="2967" ht="54" customHeight="1" x14ac:dyDescent="0.2"/>
    <row r="2968" ht="54" customHeight="1" x14ac:dyDescent="0.2"/>
    <row r="2969" ht="54" customHeight="1" x14ac:dyDescent="0.2"/>
    <row r="2970" ht="54" customHeight="1" x14ac:dyDescent="0.2"/>
    <row r="2971" ht="54" customHeight="1" x14ac:dyDescent="0.2"/>
    <row r="2972" ht="54" customHeight="1" x14ac:dyDescent="0.2"/>
    <row r="2973" ht="54" customHeight="1" x14ac:dyDescent="0.2"/>
    <row r="2974" ht="54" customHeight="1" x14ac:dyDescent="0.2"/>
    <row r="2975" ht="54" customHeight="1" x14ac:dyDescent="0.2"/>
    <row r="2976" ht="54" customHeight="1" x14ac:dyDescent="0.2"/>
    <row r="2977" ht="54" customHeight="1" x14ac:dyDescent="0.2"/>
    <row r="2978" ht="54" customHeight="1" x14ac:dyDescent="0.2"/>
    <row r="2979" ht="54" customHeight="1" x14ac:dyDescent="0.2"/>
    <row r="2980" ht="54" customHeight="1" x14ac:dyDescent="0.2"/>
    <row r="2981" ht="54" customHeight="1" x14ac:dyDescent="0.2"/>
    <row r="2982" ht="54" customHeight="1" x14ac:dyDescent="0.2"/>
    <row r="2983" ht="54" customHeight="1" x14ac:dyDescent="0.2"/>
    <row r="2984" ht="54" customHeight="1" x14ac:dyDescent="0.2"/>
    <row r="2985" ht="54" customHeight="1" x14ac:dyDescent="0.2"/>
    <row r="2986" ht="54" customHeight="1" x14ac:dyDescent="0.2"/>
    <row r="2987" ht="54" customHeight="1" x14ac:dyDescent="0.2"/>
    <row r="2988" ht="54" customHeight="1" x14ac:dyDescent="0.2"/>
    <row r="2989" ht="54" customHeight="1" x14ac:dyDescent="0.2"/>
    <row r="2990" ht="54" customHeight="1" x14ac:dyDescent="0.2"/>
    <row r="2991" ht="54" customHeight="1" x14ac:dyDescent="0.2"/>
    <row r="2992" ht="54" customHeight="1" x14ac:dyDescent="0.2"/>
    <row r="2993" ht="54" customHeight="1" x14ac:dyDescent="0.2"/>
    <row r="2994" ht="54" customHeight="1" x14ac:dyDescent="0.2"/>
    <row r="2995" ht="54" customHeight="1" x14ac:dyDescent="0.2"/>
    <row r="2996" ht="54" customHeight="1" x14ac:dyDescent="0.2"/>
    <row r="2997" ht="54" customHeight="1" x14ac:dyDescent="0.2"/>
    <row r="2998" ht="54" customHeight="1" x14ac:dyDescent="0.2"/>
    <row r="2999" ht="54" customHeight="1" x14ac:dyDescent="0.2"/>
    <row r="3000" ht="54" customHeight="1" x14ac:dyDescent="0.2"/>
    <row r="3001" ht="54" customHeight="1" x14ac:dyDescent="0.2"/>
    <row r="3002" ht="54" customHeight="1" x14ac:dyDescent="0.2"/>
    <row r="3003" ht="54" customHeight="1" x14ac:dyDescent="0.2"/>
    <row r="3004" ht="54" customHeight="1" x14ac:dyDescent="0.2"/>
    <row r="3005" ht="54" customHeight="1" x14ac:dyDescent="0.2"/>
    <row r="3006" ht="54" customHeight="1" x14ac:dyDescent="0.2"/>
    <row r="3007" ht="54" customHeight="1" x14ac:dyDescent="0.2"/>
    <row r="3008" ht="54" customHeight="1" x14ac:dyDescent="0.2"/>
    <row r="3009" ht="54" customHeight="1" x14ac:dyDescent="0.2"/>
    <row r="3010" ht="54" customHeight="1" x14ac:dyDescent="0.2"/>
    <row r="3011" ht="54" customHeight="1" x14ac:dyDescent="0.2"/>
    <row r="3012" ht="54" customHeight="1" x14ac:dyDescent="0.2"/>
    <row r="3013" ht="54" customHeight="1" x14ac:dyDescent="0.2"/>
    <row r="3014" ht="54" customHeight="1" x14ac:dyDescent="0.2"/>
    <row r="3015" ht="54" customHeight="1" x14ac:dyDescent="0.2"/>
    <row r="3016" ht="54" customHeight="1" x14ac:dyDescent="0.2"/>
    <row r="3017" ht="54" customHeight="1" x14ac:dyDescent="0.2"/>
    <row r="3018" ht="54" customHeight="1" x14ac:dyDescent="0.2"/>
    <row r="3019" ht="54" customHeight="1" x14ac:dyDescent="0.2"/>
    <row r="3020" ht="54" customHeight="1" x14ac:dyDescent="0.2"/>
    <row r="3021" ht="54" customHeight="1" x14ac:dyDescent="0.2"/>
    <row r="3022" ht="54" customHeight="1" x14ac:dyDescent="0.2"/>
    <row r="3023" ht="54" customHeight="1" x14ac:dyDescent="0.2"/>
    <row r="3024" ht="54" customHeight="1" x14ac:dyDescent="0.2"/>
    <row r="3025" ht="54" customHeight="1" x14ac:dyDescent="0.2"/>
    <row r="3026" ht="54" customHeight="1" x14ac:dyDescent="0.2"/>
    <row r="3027" ht="54" customHeight="1" x14ac:dyDescent="0.2"/>
    <row r="3028" ht="54" customHeight="1" x14ac:dyDescent="0.2"/>
    <row r="3029" ht="54" customHeight="1" x14ac:dyDescent="0.2"/>
    <row r="3030" ht="54" customHeight="1" x14ac:dyDescent="0.2"/>
    <row r="3031" ht="54" customHeight="1" x14ac:dyDescent="0.2"/>
    <row r="3032" ht="54" customHeight="1" x14ac:dyDescent="0.2"/>
    <row r="3033" ht="54" customHeight="1" x14ac:dyDescent="0.2"/>
    <row r="3034" ht="54" customHeight="1" x14ac:dyDescent="0.2"/>
    <row r="3035" ht="54" customHeight="1" x14ac:dyDescent="0.2"/>
    <row r="3036" ht="54" customHeight="1" x14ac:dyDescent="0.2"/>
    <row r="3037" ht="54" customHeight="1" x14ac:dyDescent="0.2"/>
    <row r="3038" ht="54" customHeight="1" x14ac:dyDescent="0.2"/>
    <row r="3039" ht="54" customHeight="1" x14ac:dyDescent="0.2"/>
    <row r="3040" ht="54" customHeight="1" x14ac:dyDescent="0.2"/>
    <row r="3041" ht="54" customHeight="1" x14ac:dyDescent="0.2"/>
    <row r="3042" ht="54" customHeight="1" x14ac:dyDescent="0.2"/>
    <row r="3043" ht="54" customHeight="1" x14ac:dyDescent="0.2"/>
    <row r="3044" ht="54" customHeight="1" x14ac:dyDescent="0.2"/>
    <row r="3045" ht="54" customHeight="1" x14ac:dyDescent="0.2"/>
    <row r="3046" ht="54" customHeight="1" x14ac:dyDescent="0.2"/>
    <row r="3047" ht="54" customHeight="1" x14ac:dyDescent="0.2"/>
    <row r="3048" ht="54" customHeight="1" x14ac:dyDescent="0.2"/>
    <row r="3049" ht="54" customHeight="1" x14ac:dyDescent="0.2"/>
    <row r="3050" ht="54" customHeight="1" x14ac:dyDescent="0.2"/>
    <row r="3051" ht="54" customHeight="1" x14ac:dyDescent="0.2"/>
    <row r="3052" ht="54" customHeight="1" x14ac:dyDescent="0.2"/>
    <row r="3053" ht="54" customHeight="1" x14ac:dyDescent="0.2"/>
    <row r="3054" ht="54" customHeight="1" x14ac:dyDescent="0.2"/>
    <row r="3055" ht="54" customHeight="1" x14ac:dyDescent="0.2"/>
    <row r="3056" ht="54" customHeight="1" x14ac:dyDescent="0.2"/>
    <row r="3057" ht="54" customHeight="1" x14ac:dyDescent="0.2"/>
    <row r="3058" ht="54" customHeight="1" x14ac:dyDescent="0.2"/>
    <row r="3059" ht="54" customHeight="1" x14ac:dyDescent="0.2"/>
    <row r="3060" ht="54" customHeight="1" x14ac:dyDescent="0.2"/>
    <row r="3061" ht="54" customHeight="1" x14ac:dyDescent="0.2"/>
    <row r="3062" ht="54" customHeight="1" x14ac:dyDescent="0.2"/>
    <row r="3063" ht="54" customHeight="1" x14ac:dyDescent="0.2"/>
    <row r="3064" ht="54" customHeight="1" x14ac:dyDescent="0.2"/>
    <row r="3065" ht="54" customHeight="1" x14ac:dyDescent="0.2"/>
    <row r="3066" ht="54" customHeight="1" x14ac:dyDescent="0.2"/>
    <row r="3067" ht="54" customHeight="1" x14ac:dyDescent="0.2"/>
    <row r="3068" ht="54" customHeight="1" x14ac:dyDescent="0.2"/>
    <row r="3069" ht="54" customHeight="1" x14ac:dyDescent="0.2"/>
    <row r="3070" ht="54" customHeight="1" x14ac:dyDescent="0.2"/>
    <row r="3071" ht="54" customHeight="1" x14ac:dyDescent="0.2"/>
    <row r="3072" ht="54" customHeight="1" x14ac:dyDescent="0.2"/>
    <row r="3073" ht="54" customHeight="1" x14ac:dyDescent="0.2"/>
    <row r="3074" ht="54" customHeight="1" x14ac:dyDescent="0.2"/>
    <row r="3075" ht="54" customHeight="1" x14ac:dyDescent="0.2"/>
    <row r="3076" ht="54" customHeight="1" x14ac:dyDescent="0.2"/>
    <row r="3077" ht="54" customHeight="1" x14ac:dyDescent="0.2"/>
    <row r="3078" ht="54" customHeight="1" x14ac:dyDescent="0.2"/>
    <row r="3079" ht="54" customHeight="1" x14ac:dyDescent="0.2"/>
    <row r="3080" ht="54" customHeight="1" x14ac:dyDescent="0.2"/>
    <row r="3081" ht="54" customHeight="1" x14ac:dyDescent="0.2"/>
    <row r="3082" ht="54" customHeight="1" x14ac:dyDescent="0.2"/>
    <row r="3083" ht="54" customHeight="1" x14ac:dyDescent="0.2"/>
    <row r="3084" ht="54" customHeight="1" x14ac:dyDescent="0.2"/>
    <row r="3085" ht="54" customHeight="1" x14ac:dyDescent="0.2"/>
    <row r="3086" ht="54" customHeight="1" x14ac:dyDescent="0.2"/>
    <row r="3087" ht="54" customHeight="1" x14ac:dyDescent="0.2"/>
    <row r="3088" ht="54" customHeight="1" x14ac:dyDescent="0.2"/>
    <row r="3089" ht="54" customHeight="1" x14ac:dyDescent="0.2"/>
    <row r="3090" ht="54" customHeight="1" x14ac:dyDescent="0.2"/>
    <row r="3091" ht="54" customHeight="1" x14ac:dyDescent="0.2"/>
    <row r="3092" ht="54" customHeight="1" x14ac:dyDescent="0.2"/>
    <row r="3093" ht="54" customHeight="1" x14ac:dyDescent="0.2"/>
    <row r="3094" ht="54" customHeight="1" x14ac:dyDescent="0.2"/>
    <row r="3095" ht="54" customHeight="1" x14ac:dyDescent="0.2"/>
    <row r="3096" ht="54" customHeight="1" x14ac:dyDescent="0.2"/>
    <row r="3097" ht="54" customHeight="1" x14ac:dyDescent="0.2"/>
    <row r="3098" ht="54" customHeight="1" x14ac:dyDescent="0.2"/>
    <row r="3099" ht="54" customHeight="1" x14ac:dyDescent="0.2"/>
    <row r="3100" ht="54" customHeight="1" x14ac:dyDescent="0.2"/>
    <row r="3101" ht="54" customHeight="1" x14ac:dyDescent="0.2"/>
    <row r="3102" ht="54" customHeight="1" x14ac:dyDescent="0.2"/>
    <row r="3103" ht="54" customHeight="1" x14ac:dyDescent="0.2"/>
    <row r="3104" ht="54" customHeight="1" x14ac:dyDescent="0.2"/>
    <row r="3105" ht="54" customHeight="1" x14ac:dyDescent="0.2"/>
    <row r="3106" ht="54" customHeight="1" x14ac:dyDescent="0.2"/>
    <row r="3107" ht="54" customHeight="1" x14ac:dyDescent="0.2"/>
    <row r="3108" ht="54" customHeight="1" x14ac:dyDescent="0.2"/>
    <row r="3109" ht="54" customHeight="1" x14ac:dyDescent="0.2"/>
    <row r="3110" ht="54" customHeight="1" x14ac:dyDescent="0.2"/>
    <row r="3111" ht="54" customHeight="1" x14ac:dyDescent="0.2"/>
    <row r="3112" ht="54" customHeight="1" x14ac:dyDescent="0.2"/>
    <row r="3113" ht="54" customHeight="1" x14ac:dyDescent="0.2"/>
    <row r="3114" ht="54" customHeight="1" x14ac:dyDescent="0.2"/>
    <row r="3115" ht="54" customHeight="1" x14ac:dyDescent="0.2"/>
    <row r="3116" ht="54" customHeight="1" x14ac:dyDescent="0.2"/>
    <row r="3117" ht="54" customHeight="1" x14ac:dyDescent="0.2"/>
    <row r="3118" ht="54" customHeight="1" x14ac:dyDescent="0.2"/>
    <row r="3119" ht="54" customHeight="1" x14ac:dyDescent="0.2"/>
    <row r="3120" ht="54" customHeight="1" x14ac:dyDescent="0.2"/>
    <row r="3121" ht="54" customHeight="1" x14ac:dyDescent="0.2"/>
    <row r="3122" ht="54" customHeight="1" x14ac:dyDescent="0.2"/>
    <row r="3123" ht="54" customHeight="1" x14ac:dyDescent="0.2"/>
    <row r="3124" ht="54" customHeight="1" x14ac:dyDescent="0.2"/>
    <row r="3125" ht="54" customHeight="1" x14ac:dyDescent="0.2"/>
    <row r="3126" ht="54" customHeight="1" x14ac:dyDescent="0.2"/>
    <row r="3127" ht="54" customHeight="1" x14ac:dyDescent="0.2"/>
    <row r="3128" ht="54" customHeight="1" x14ac:dyDescent="0.2"/>
    <row r="3129" ht="54" customHeight="1" x14ac:dyDescent="0.2"/>
    <row r="3130" ht="54" customHeight="1" x14ac:dyDescent="0.2"/>
    <row r="3131" ht="54" customHeight="1" x14ac:dyDescent="0.2"/>
    <row r="3132" ht="54" customHeight="1" x14ac:dyDescent="0.2"/>
    <row r="3133" ht="54" customHeight="1" x14ac:dyDescent="0.2"/>
    <row r="3134" ht="54" customHeight="1" x14ac:dyDescent="0.2"/>
    <row r="3135" ht="54" customHeight="1" x14ac:dyDescent="0.2"/>
    <row r="3136" ht="54" customHeight="1" x14ac:dyDescent="0.2"/>
    <row r="3137" ht="54" customHeight="1" x14ac:dyDescent="0.2"/>
    <row r="3138" ht="54" customHeight="1" x14ac:dyDescent="0.2"/>
    <row r="3139" ht="54" customHeight="1" x14ac:dyDescent="0.2"/>
    <row r="3140" ht="54" customHeight="1" x14ac:dyDescent="0.2"/>
    <row r="3141" ht="54" customHeight="1" x14ac:dyDescent="0.2"/>
    <row r="3142" ht="54" customHeight="1" x14ac:dyDescent="0.2"/>
    <row r="3143" ht="54" customHeight="1" x14ac:dyDescent="0.2"/>
    <row r="3144" ht="54" customHeight="1" x14ac:dyDescent="0.2"/>
    <row r="3145" ht="54" customHeight="1" x14ac:dyDescent="0.2"/>
    <row r="3146" ht="54" customHeight="1" x14ac:dyDescent="0.2"/>
    <row r="3147" ht="54" customHeight="1" x14ac:dyDescent="0.2"/>
    <row r="3148" ht="54" customHeight="1" x14ac:dyDescent="0.2"/>
    <row r="3149" ht="54" customHeight="1" x14ac:dyDescent="0.2"/>
    <row r="3150" ht="54" customHeight="1" x14ac:dyDescent="0.2"/>
    <row r="3151" ht="54" customHeight="1" x14ac:dyDescent="0.2"/>
    <row r="3152" ht="54" customHeight="1" x14ac:dyDescent="0.2"/>
    <row r="3153" ht="54" customHeight="1" x14ac:dyDescent="0.2"/>
    <row r="3154" ht="54" customHeight="1" x14ac:dyDescent="0.2"/>
    <row r="3155" ht="54" customHeight="1" x14ac:dyDescent="0.2"/>
    <row r="3156" ht="54" customHeight="1" x14ac:dyDescent="0.2"/>
    <row r="3157" ht="54" customHeight="1" x14ac:dyDescent="0.2"/>
    <row r="3158" ht="54" customHeight="1" x14ac:dyDescent="0.2"/>
    <row r="3159" ht="54" customHeight="1" x14ac:dyDescent="0.2"/>
    <row r="3160" ht="54" customHeight="1" x14ac:dyDescent="0.2"/>
    <row r="3161" ht="54" customHeight="1" x14ac:dyDescent="0.2"/>
    <row r="3162" ht="54" customHeight="1" x14ac:dyDescent="0.2"/>
    <row r="3163" ht="54" customHeight="1" x14ac:dyDescent="0.2"/>
    <row r="3164" ht="54" customHeight="1" x14ac:dyDescent="0.2"/>
    <row r="3165" ht="54" customHeight="1" x14ac:dyDescent="0.2"/>
    <row r="3166" ht="54" customHeight="1" x14ac:dyDescent="0.2"/>
    <row r="3167" ht="54" customHeight="1" x14ac:dyDescent="0.2"/>
    <row r="3168" ht="54" customHeight="1" x14ac:dyDescent="0.2"/>
    <row r="3169" ht="54" customHeight="1" x14ac:dyDescent="0.2"/>
    <row r="3170" ht="54" customHeight="1" x14ac:dyDescent="0.2"/>
    <row r="3171" ht="54" customHeight="1" x14ac:dyDescent="0.2"/>
    <row r="3172" ht="54" customHeight="1" x14ac:dyDescent="0.2"/>
    <row r="3173" ht="54" customHeight="1" x14ac:dyDescent="0.2"/>
    <row r="3174" ht="54" customHeight="1" x14ac:dyDescent="0.2"/>
    <row r="3175" ht="54" customHeight="1" x14ac:dyDescent="0.2"/>
    <row r="3176" ht="54" customHeight="1" x14ac:dyDescent="0.2"/>
    <row r="3177" ht="54" customHeight="1" x14ac:dyDescent="0.2"/>
    <row r="3178" ht="54" customHeight="1" x14ac:dyDescent="0.2"/>
    <row r="3179" ht="54" customHeight="1" x14ac:dyDescent="0.2"/>
    <row r="3180" ht="54" customHeight="1" x14ac:dyDescent="0.2"/>
    <row r="3181" ht="54" customHeight="1" x14ac:dyDescent="0.2"/>
    <row r="3182" ht="54" customHeight="1" x14ac:dyDescent="0.2"/>
    <row r="3183" ht="54" customHeight="1" x14ac:dyDescent="0.2"/>
    <row r="3184" ht="54" customHeight="1" x14ac:dyDescent="0.2"/>
    <row r="3185" ht="54" customHeight="1" x14ac:dyDescent="0.2"/>
    <row r="3186" ht="54" customHeight="1" x14ac:dyDescent="0.2"/>
    <row r="3187" ht="54" customHeight="1" x14ac:dyDescent="0.2"/>
    <row r="3188" ht="54" customHeight="1" x14ac:dyDescent="0.2"/>
    <row r="3189" ht="54" customHeight="1" x14ac:dyDescent="0.2"/>
    <row r="3190" ht="54" customHeight="1" x14ac:dyDescent="0.2"/>
    <row r="3191" ht="54" customHeight="1" x14ac:dyDescent="0.2"/>
    <row r="3192" ht="54" customHeight="1" x14ac:dyDescent="0.2"/>
    <row r="3193" ht="54" customHeight="1" x14ac:dyDescent="0.2"/>
    <row r="3194" ht="54" customHeight="1" x14ac:dyDescent="0.2"/>
    <row r="3195" ht="54" customHeight="1" x14ac:dyDescent="0.2"/>
    <row r="3196" ht="54" customHeight="1" x14ac:dyDescent="0.2"/>
    <row r="3197" ht="54" customHeight="1" x14ac:dyDescent="0.2"/>
    <row r="3198" ht="54" customHeight="1" x14ac:dyDescent="0.2"/>
    <row r="3199" ht="54" customHeight="1" x14ac:dyDescent="0.2"/>
    <row r="3200" ht="54" customHeight="1" x14ac:dyDescent="0.2"/>
    <row r="3201" ht="54" customHeight="1" x14ac:dyDescent="0.2"/>
    <row r="3202" ht="54" customHeight="1" x14ac:dyDescent="0.2"/>
    <row r="3203" ht="54" customHeight="1" x14ac:dyDescent="0.2"/>
    <row r="3204" ht="54" customHeight="1" x14ac:dyDescent="0.2"/>
    <row r="3205" ht="54" customHeight="1" x14ac:dyDescent="0.2"/>
    <row r="3206" ht="54" customHeight="1" x14ac:dyDescent="0.2"/>
    <row r="3207" ht="54" customHeight="1" x14ac:dyDescent="0.2"/>
    <row r="3208" ht="54" customHeight="1" x14ac:dyDescent="0.2"/>
    <row r="3209" ht="54" customHeight="1" x14ac:dyDescent="0.2"/>
    <row r="3210" ht="54" customHeight="1" x14ac:dyDescent="0.2"/>
    <row r="3211" ht="54" customHeight="1" x14ac:dyDescent="0.2"/>
    <row r="3212" ht="54" customHeight="1" x14ac:dyDescent="0.2"/>
    <row r="3213" ht="54" customHeight="1" x14ac:dyDescent="0.2"/>
    <row r="3214" ht="54" customHeight="1" x14ac:dyDescent="0.2"/>
    <row r="3215" ht="54" customHeight="1" x14ac:dyDescent="0.2"/>
    <row r="3216" ht="54" customHeight="1" x14ac:dyDescent="0.2"/>
    <row r="3217" ht="54" customHeight="1" x14ac:dyDescent="0.2"/>
    <row r="3218" ht="54" customHeight="1" x14ac:dyDescent="0.2"/>
    <row r="3219" ht="54" customHeight="1" x14ac:dyDescent="0.2"/>
    <row r="3220" ht="54" customHeight="1" x14ac:dyDescent="0.2"/>
    <row r="3221" ht="54" customHeight="1" x14ac:dyDescent="0.2"/>
    <row r="3222" ht="54" customHeight="1" x14ac:dyDescent="0.2"/>
    <row r="3223" ht="54" customHeight="1" x14ac:dyDescent="0.2"/>
    <row r="3224" ht="54" customHeight="1" x14ac:dyDescent="0.2"/>
    <row r="3225" ht="54" customHeight="1" x14ac:dyDescent="0.2"/>
    <row r="3226" ht="54" customHeight="1" x14ac:dyDescent="0.2"/>
    <row r="3227" ht="54" customHeight="1" x14ac:dyDescent="0.2"/>
    <row r="3228" ht="54" customHeight="1" x14ac:dyDescent="0.2"/>
    <row r="3229" ht="54" customHeight="1" x14ac:dyDescent="0.2"/>
    <row r="3230" ht="54" customHeight="1" x14ac:dyDescent="0.2"/>
    <row r="3231" ht="54" customHeight="1" x14ac:dyDescent="0.2"/>
    <row r="3232" ht="54" customHeight="1" x14ac:dyDescent="0.2"/>
    <row r="3233" ht="54" customHeight="1" x14ac:dyDescent="0.2"/>
    <row r="3234" ht="54" customHeight="1" x14ac:dyDescent="0.2"/>
    <row r="3235" ht="54" customHeight="1" x14ac:dyDescent="0.2"/>
    <row r="3236" ht="54" customHeight="1" x14ac:dyDescent="0.2"/>
    <row r="3237" ht="54" customHeight="1" x14ac:dyDescent="0.2"/>
    <row r="3238" ht="54" customHeight="1" x14ac:dyDescent="0.2"/>
    <row r="3239" ht="54" customHeight="1" x14ac:dyDescent="0.2"/>
    <row r="3240" ht="54" customHeight="1" x14ac:dyDescent="0.2"/>
    <row r="3241" ht="54" customHeight="1" x14ac:dyDescent="0.2"/>
    <row r="3242" ht="54" customHeight="1" x14ac:dyDescent="0.2"/>
    <row r="3243" ht="54" customHeight="1" x14ac:dyDescent="0.2"/>
    <row r="3244" ht="54" customHeight="1" x14ac:dyDescent="0.2"/>
    <row r="3245" ht="54" customHeight="1" x14ac:dyDescent="0.2"/>
    <row r="3246" ht="54" customHeight="1" x14ac:dyDescent="0.2"/>
    <row r="3247" ht="54" customHeight="1" x14ac:dyDescent="0.2"/>
    <row r="3248" ht="54" customHeight="1" x14ac:dyDescent="0.2"/>
    <row r="3249" ht="54" customHeight="1" x14ac:dyDescent="0.2"/>
    <row r="3250" ht="54" customHeight="1" x14ac:dyDescent="0.2"/>
    <row r="3251" ht="54" customHeight="1" x14ac:dyDescent="0.2"/>
    <row r="3252" ht="54" customHeight="1" x14ac:dyDescent="0.2"/>
    <row r="3253" ht="54" customHeight="1" x14ac:dyDescent="0.2"/>
    <row r="3254" ht="54" customHeight="1" x14ac:dyDescent="0.2"/>
    <row r="3255" ht="54" customHeight="1" x14ac:dyDescent="0.2"/>
    <row r="3256" ht="54" customHeight="1" x14ac:dyDescent="0.2"/>
    <row r="3257" ht="54" customHeight="1" x14ac:dyDescent="0.2"/>
    <row r="3258" ht="54" customHeight="1" x14ac:dyDescent="0.2"/>
    <row r="3259" ht="54" customHeight="1" x14ac:dyDescent="0.2"/>
    <row r="3260" ht="54" customHeight="1" x14ac:dyDescent="0.2"/>
    <row r="3261" ht="54" customHeight="1" x14ac:dyDescent="0.2"/>
    <row r="3262" ht="54" customHeight="1" x14ac:dyDescent="0.2"/>
    <row r="3263" ht="54" customHeight="1" x14ac:dyDescent="0.2"/>
    <row r="3264" ht="54" customHeight="1" x14ac:dyDescent="0.2"/>
    <row r="3265" ht="54" customHeight="1" x14ac:dyDescent="0.2"/>
    <row r="3266" ht="54" customHeight="1" x14ac:dyDescent="0.2"/>
    <row r="3267" ht="54" customHeight="1" x14ac:dyDescent="0.2"/>
    <row r="3268" ht="54" customHeight="1" x14ac:dyDescent="0.2"/>
    <row r="3269" ht="54" customHeight="1" x14ac:dyDescent="0.2"/>
    <row r="3270" ht="54" customHeight="1" x14ac:dyDescent="0.2"/>
    <row r="3271" ht="54" customHeight="1" x14ac:dyDescent="0.2"/>
    <row r="3272" ht="54" customHeight="1" x14ac:dyDescent="0.2"/>
    <row r="3273" ht="54" customHeight="1" x14ac:dyDescent="0.2"/>
    <row r="3274" ht="54" customHeight="1" x14ac:dyDescent="0.2"/>
    <row r="3275" ht="54" customHeight="1" x14ac:dyDescent="0.2"/>
    <row r="3276" ht="54" customHeight="1" x14ac:dyDescent="0.2"/>
    <row r="3277" ht="54" customHeight="1" x14ac:dyDescent="0.2"/>
    <row r="3278" ht="54" customHeight="1" x14ac:dyDescent="0.2"/>
    <row r="3279" ht="54" customHeight="1" x14ac:dyDescent="0.2"/>
    <row r="3280" ht="54" customHeight="1" x14ac:dyDescent="0.2"/>
    <row r="3281" ht="54" customHeight="1" x14ac:dyDescent="0.2"/>
    <row r="3282" ht="54" customHeight="1" x14ac:dyDescent="0.2"/>
    <row r="3283" ht="54" customHeight="1" x14ac:dyDescent="0.2"/>
    <row r="3284" ht="54" customHeight="1" x14ac:dyDescent="0.2"/>
    <row r="3285" ht="54" customHeight="1" x14ac:dyDescent="0.2"/>
    <row r="3286" ht="54" customHeight="1" x14ac:dyDescent="0.2"/>
    <row r="3287" ht="54" customHeight="1" x14ac:dyDescent="0.2"/>
    <row r="3288" ht="54" customHeight="1" x14ac:dyDescent="0.2"/>
    <row r="3289" ht="54" customHeight="1" x14ac:dyDescent="0.2"/>
    <row r="3290" ht="54" customHeight="1" x14ac:dyDescent="0.2"/>
    <row r="3291" ht="54" customHeight="1" x14ac:dyDescent="0.2"/>
    <row r="3292" ht="54" customHeight="1" x14ac:dyDescent="0.2"/>
    <row r="3293" ht="54" customHeight="1" x14ac:dyDescent="0.2"/>
    <row r="3294" ht="54" customHeight="1" x14ac:dyDescent="0.2"/>
    <row r="3295" ht="54" customHeight="1" x14ac:dyDescent="0.2"/>
    <row r="3296" ht="54" customHeight="1" x14ac:dyDescent="0.2"/>
    <row r="3297" ht="54" customHeight="1" x14ac:dyDescent="0.2"/>
    <row r="3298" ht="54" customHeight="1" x14ac:dyDescent="0.2"/>
    <row r="3299" ht="54" customHeight="1" x14ac:dyDescent="0.2"/>
    <row r="3300" ht="54" customHeight="1" x14ac:dyDescent="0.2"/>
    <row r="3301" ht="54" customHeight="1" x14ac:dyDescent="0.2"/>
    <row r="3302" ht="54" customHeight="1" x14ac:dyDescent="0.2"/>
    <row r="3303" ht="54" customHeight="1" x14ac:dyDescent="0.2"/>
    <row r="3304" ht="54" customHeight="1" x14ac:dyDescent="0.2"/>
    <row r="3305" ht="54" customHeight="1" x14ac:dyDescent="0.2"/>
    <row r="3306" ht="54" customHeight="1" x14ac:dyDescent="0.2"/>
    <row r="3307" ht="54" customHeight="1" x14ac:dyDescent="0.2"/>
    <row r="3308" ht="54" customHeight="1" x14ac:dyDescent="0.2"/>
    <row r="3309" ht="54" customHeight="1" x14ac:dyDescent="0.2"/>
    <row r="3310" ht="54" customHeight="1" x14ac:dyDescent="0.2"/>
    <row r="3311" ht="54" customHeight="1" x14ac:dyDescent="0.2"/>
    <row r="3312" ht="54" customHeight="1" x14ac:dyDescent="0.2"/>
    <row r="3313" ht="54" customHeight="1" x14ac:dyDescent="0.2"/>
    <row r="3314" ht="54" customHeight="1" x14ac:dyDescent="0.2"/>
    <row r="3315" ht="54" customHeight="1" x14ac:dyDescent="0.2"/>
    <row r="3316" ht="54" customHeight="1" x14ac:dyDescent="0.2"/>
    <row r="3317" ht="54" customHeight="1" x14ac:dyDescent="0.2"/>
    <row r="3318" ht="54" customHeight="1" x14ac:dyDescent="0.2"/>
    <row r="3319" ht="54" customHeight="1" x14ac:dyDescent="0.2"/>
    <row r="3320" ht="54" customHeight="1" x14ac:dyDescent="0.2"/>
    <row r="3321" ht="54" customHeight="1" x14ac:dyDescent="0.2"/>
    <row r="3322" ht="54" customHeight="1" x14ac:dyDescent="0.2"/>
    <row r="3323" ht="54" customHeight="1" x14ac:dyDescent="0.2"/>
    <row r="3324" ht="54" customHeight="1" x14ac:dyDescent="0.2"/>
    <row r="3325" ht="54" customHeight="1" x14ac:dyDescent="0.2"/>
    <row r="3326" ht="54" customHeight="1" x14ac:dyDescent="0.2"/>
    <row r="3327" ht="54" customHeight="1" x14ac:dyDescent="0.2"/>
    <row r="3328" ht="54" customHeight="1" x14ac:dyDescent="0.2"/>
    <row r="3329" ht="54" customHeight="1" x14ac:dyDescent="0.2"/>
    <row r="3330" ht="54" customHeight="1" x14ac:dyDescent="0.2"/>
    <row r="3331" ht="54" customHeight="1" x14ac:dyDescent="0.2"/>
    <row r="3332" ht="54" customHeight="1" x14ac:dyDescent="0.2"/>
    <row r="3333" ht="54" customHeight="1" x14ac:dyDescent="0.2"/>
    <row r="3334" ht="54" customHeight="1" x14ac:dyDescent="0.2"/>
    <row r="3335" ht="54" customHeight="1" x14ac:dyDescent="0.2"/>
    <row r="3336" ht="54" customHeight="1" x14ac:dyDescent="0.2"/>
    <row r="3337" ht="54" customHeight="1" x14ac:dyDescent="0.2"/>
    <row r="3338" ht="54" customHeight="1" x14ac:dyDescent="0.2"/>
    <row r="3339" ht="54" customHeight="1" x14ac:dyDescent="0.2"/>
    <row r="3340" ht="54" customHeight="1" x14ac:dyDescent="0.2"/>
    <row r="3341" ht="54" customHeight="1" x14ac:dyDescent="0.2"/>
    <row r="3342" ht="54" customHeight="1" x14ac:dyDescent="0.2"/>
    <row r="3343" ht="54" customHeight="1" x14ac:dyDescent="0.2"/>
    <row r="3344" ht="54" customHeight="1" x14ac:dyDescent="0.2"/>
    <row r="3345" ht="54" customHeight="1" x14ac:dyDescent="0.2"/>
    <row r="3346" ht="54" customHeight="1" x14ac:dyDescent="0.2"/>
    <row r="3347" ht="54" customHeight="1" x14ac:dyDescent="0.2"/>
    <row r="3348" ht="54" customHeight="1" x14ac:dyDescent="0.2"/>
    <row r="3349" ht="54" customHeight="1" x14ac:dyDescent="0.2"/>
    <row r="3350" ht="54" customHeight="1" x14ac:dyDescent="0.2"/>
    <row r="3351" ht="54" customHeight="1" x14ac:dyDescent="0.2"/>
    <row r="3352" ht="54" customHeight="1" x14ac:dyDescent="0.2"/>
    <row r="3353" ht="54" customHeight="1" x14ac:dyDescent="0.2"/>
    <row r="3354" ht="54" customHeight="1" x14ac:dyDescent="0.2"/>
    <row r="3355" ht="54" customHeight="1" x14ac:dyDescent="0.2"/>
    <row r="3356" ht="54" customHeight="1" x14ac:dyDescent="0.2"/>
    <row r="3357" ht="54" customHeight="1" x14ac:dyDescent="0.2"/>
    <row r="3358" ht="54" customHeight="1" x14ac:dyDescent="0.2"/>
    <row r="3359" ht="54" customHeight="1" x14ac:dyDescent="0.2"/>
    <row r="3360" ht="54" customHeight="1" x14ac:dyDescent="0.2"/>
    <row r="3361" ht="54" customHeight="1" x14ac:dyDescent="0.2"/>
    <row r="3362" ht="54" customHeight="1" x14ac:dyDescent="0.2"/>
    <row r="3363" ht="54" customHeight="1" x14ac:dyDescent="0.2"/>
    <row r="3364" ht="54" customHeight="1" x14ac:dyDescent="0.2"/>
    <row r="3365" ht="54" customHeight="1" x14ac:dyDescent="0.2"/>
    <row r="3366" ht="54" customHeight="1" x14ac:dyDescent="0.2"/>
    <row r="3367" ht="54" customHeight="1" x14ac:dyDescent="0.2"/>
    <row r="3368" ht="54" customHeight="1" x14ac:dyDescent="0.2"/>
    <row r="3369" ht="54" customHeight="1" x14ac:dyDescent="0.2"/>
    <row r="3370" ht="54" customHeight="1" x14ac:dyDescent="0.2"/>
    <row r="3371" ht="54" customHeight="1" x14ac:dyDescent="0.2"/>
    <row r="3372" ht="54" customHeight="1" x14ac:dyDescent="0.2"/>
    <row r="3373" ht="54" customHeight="1" x14ac:dyDescent="0.2"/>
    <row r="3374" ht="54" customHeight="1" x14ac:dyDescent="0.2"/>
    <row r="3375" ht="54" customHeight="1" x14ac:dyDescent="0.2"/>
    <row r="3376" ht="54" customHeight="1" x14ac:dyDescent="0.2"/>
    <row r="3377" ht="54" customHeight="1" x14ac:dyDescent="0.2"/>
    <row r="3378" ht="54" customHeight="1" x14ac:dyDescent="0.2"/>
    <row r="3379" ht="54" customHeight="1" x14ac:dyDescent="0.2"/>
    <row r="3380" ht="54" customHeight="1" x14ac:dyDescent="0.2"/>
    <row r="3381" ht="54" customHeight="1" x14ac:dyDescent="0.2"/>
    <row r="3382" ht="54" customHeight="1" x14ac:dyDescent="0.2"/>
    <row r="3383" ht="54" customHeight="1" x14ac:dyDescent="0.2"/>
    <row r="3384" ht="54" customHeight="1" x14ac:dyDescent="0.2"/>
    <row r="3385" ht="54" customHeight="1" x14ac:dyDescent="0.2"/>
    <row r="3386" ht="54" customHeight="1" x14ac:dyDescent="0.2"/>
    <row r="3387" ht="54" customHeight="1" x14ac:dyDescent="0.2"/>
    <row r="3388" ht="54" customHeight="1" x14ac:dyDescent="0.2"/>
    <row r="3389" ht="54" customHeight="1" x14ac:dyDescent="0.2"/>
    <row r="3390" ht="54" customHeight="1" x14ac:dyDescent="0.2"/>
    <row r="3391" ht="54" customHeight="1" x14ac:dyDescent="0.2"/>
    <row r="3392" ht="54" customHeight="1" x14ac:dyDescent="0.2"/>
    <row r="3393" ht="54" customHeight="1" x14ac:dyDescent="0.2"/>
    <row r="3394" ht="54" customHeight="1" x14ac:dyDescent="0.2"/>
    <row r="3395" ht="54" customHeight="1" x14ac:dyDescent="0.2"/>
    <row r="3396" ht="54" customHeight="1" x14ac:dyDescent="0.2"/>
    <row r="3397" ht="54" customHeight="1" x14ac:dyDescent="0.2"/>
    <row r="3398" ht="54" customHeight="1" x14ac:dyDescent="0.2"/>
    <row r="3399" ht="54" customHeight="1" x14ac:dyDescent="0.2"/>
    <row r="3400" ht="54" customHeight="1" x14ac:dyDescent="0.2"/>
    <row r="3401" ht="54" customHeight="1" x14ac:dyDescent="0.2"/>
    <row r="3402" ht="54" customHeight="1" x14ac:dyDescent="0.2"/>
    <row r="3403" ht="54" customHeight="1" x14ac:dyDescent="0.2"/>
    <row r="3404" ht="54" customHeight="1" x14ac:dyDescent="0.2"/>
    <row r="3405" ht="54" customHeight="1" x14ac:dyDescent="0.2"/>
    <row r="3406" ht="54" customHeight="1" x14ac:dyDescent="0.2"/>
    <row r="3407" ht="54" customHeight="1" x14ac:dyDescent="0.2"/>
    <row r="3408" ht="54" customHeight="1" x14ac:dyDescent="0.2"/>
    <row r="3409" ht="54" customHeight="1" x14ac:dyDescent="0.2"/>
    <row r="3410" ht="54" customHeight="1" x14ac:dyDescent="0.2"/>
    <row r="3411" ht="54" customHeight="1" x14ac:dyDescent="0.2"/>
    <row r="3412" ht="54" customHeight="1" x14ac:dyDescent="0.2"/>
    <row r="3413" ht="54" customHeight="1" x14ac:dyDescent="0.2"/>
    <row r="3414" ht="54" customHeight="1" x14ac:dyDescent="0.2"/>
    <row r="3415" ht="54" customHeight="1" x14ac:dyDescent="0.2"/>
    <row r="3416" ht="54" customHeight="1" x14ac:dyDescent="0.2"/>
    <row r="3417" ht="54" customHeight="1" x14ac:dyDescent="0.2"/>
    <row r="3418" ht="54" customHeight="1" x14ac:dyDescent="0.2"/>
    <row r="3419" ht="54" customHeight="1" x14ac:dyDescent="0.2"/>
    <row r="3420" ht="54" customHeight="1" x14ac:dyDescent="0.2"/>
    <row r="3421" ht="54" customHeight="1" x14ac:dyDescent="0.2"/>
    <row r="3422" ht="54" customHeight="1" x14ac:dyDescent="0.2"/>
    <row r="3423" ht="54" customHeight="1" x14ac:dyDescent="0.2"/>
    <row r="3424" ht="54" customHeight="1" x14ac:dyDescent="0.2"/>
    <row r="3425" ht="54" customHeight="1" x14ac:dyDescent="0.2"/>
    <row r="3426" ht="54" customHeight="1" x14ac:dyDescent="0.2"/>
    <row r="3427" ht="54" customHeight="1" x14ac:dyDescent="0.2"/>
    <row r="3428" ht="54" customHeight="1" x14ac:dyDescent="0.2"/>
    <row r="3429" ht="54" customHeight="1" x14ac:dyDescent="0.2"/>
    <row r="3430" ht="54" customHeight="1" x14ac:dyDescent="0.2"/>
    <row r="3431" ht="54" customHeight="1" x14ac:dyDescent="0.2"/>
    <row r="3432" ht="54" customHeight="1" x14ac:dyDescent="0.2"/>
    <row r="3433" ht="54" customHeight="1" x14ac:dyDescent="0.2"/>
    <row r="3434" ht="54" customHeight="1" x14ac:dyDescent="0.2"/>
    <row r="3435" ht="54" customHeight="1" x14ac:dyDescent="0.2"/>
    <row r="3436" ht="54" customHeight="1" x14ac:dyDescent="0.2"/>
    <row r="3437" ht="54" customHeight="1" x14ac:dyDescent="0.2"/>
    <row r="3438" ht="54" customHeight="1" x14ac:dyDescent="0.2"/>
    <row r="3439" ht="54" customHeight="1" x14ac:dyDescent="0.2"/>
    <row r="3440" ht="54" customHeight="1" x14ac:dyDescent="0.2"/>
    <row r="3441" ht="54" customHeight="1" x14ac:dyDescent="0.2"/>
    <row r="3442" ht="54" customHeight="1" x14ac:dyDescent="0.2"/>
    <row r="3443" ht="54" customHeight="1" x14ac:dyDescent="0.2"/>
    <row r="3444" ht="54" customHeight="1" x14ac:dyDescent="0.2"/>
    <row r="3445" ht="54" customHeight="1" x14ac:dyDescent="0.2"/>
    <row r="3446" ht="54" customHeight="1" x14ac:dyDescent="0.2"/>
    <row r="3447" ht="54" customHeight="1" x14ac:dyDescent="0.2"/>
    <row r="3448" ht="54" customHeight="1" x14ac:dyDescent="0.2"/>
    <row r="3449" ht="54" customHeight="1" x14ac:dyDescent="0.2"/>
    <row r="3450" ht="54" customHeight="1" x14ac:dyDescent="0.2"/>
    <row r="3451" ht="54" customHeight="1" x14ac:dyDescent="0.2"/>
    <row r="3452" ht="54" customHeight="1" x14ac:dyDescent="0.2"/>
    <row r="3453" ht="54" customHeight="1" x14ac:dyDescent="0.2"/>
    <row r="3454" ht="54" customHeight="1" x14ac:dyDescent="0.2"/>
    <row r="3455" ht="54" customHeight="1" x14ac:dyDescent="0.2"/>
    <row r="3456" ht="54" customHeight="1" x14ac:dyDescent="0.2"/>
    <row r="3457" ht="54" customHeight="1" x14ac:dyDescent="0.2"/>
    <row r="3458" ht="54" customHeight="1" x14ac:dyDescent="0.2"/>
    <row r="3459" ht="54" customHeight="1" x14ac:dyDescent="0.2"/>
    <row r="3460" ht="54" customHeight="1" x14ac:dyDescent="0.2"/>
    <row r="3461" ht="54" customHeight="1" x14ac:dyDescent="0.2"/>
    <row r="3462" ht="54" customHeight="1" x14ac:dyDescent="0.2"/>
    <row r="3463" ht="54" customHeight="1" x14ac:dyDescent="0.2"/>
    <row r="3464" ht="54" customHeight="1" x14ac:dyDescent="0.2"/>
    <row r="3465" ht="54" customHeight="1" x14ac:dyDescent="0.2"/>
    <row r="3466" ht="54" customHeight="1" x14ac:dyDescent="0.2"/>
    <row r="3467" ht="54" customHeight="1" x14ac:dyDescent="0.2"/>
    <row r="3468" ht="54" customHeight="1" x14ac:dyDescent="0.2"/>
    <row r="3469" ht="54" customHeight="1" x14ac:dyDescent="0.2"/>
    <row r="3470" ht="54" customHeight="1" x14ac:dyDescent="0.2"/>
    <row r="3471" ht="54" customHeight="1" x14ac:dyDescent="0.2"/>
    <row r="3472" ht="54" customHeight="1" x14ac:dyDescent="0.2"/>
    <row r="3473" ht="54" customHeight="1" x14ac:dyDescent="0.2"/>
    <row r="3474" ht="54" customHeight="1" x14ac:dyDescent="0.2"/>
    <row r="3475" ht="54" customHeight="1" x14ac:dyDescent="0.2"/>
    <row r="3476" ht="54" customHeight="1" x14ac:dyDescent="0.2"/>
    <row r="3477" ht="54" customHeight="1" x14ac:dyDescent="0.2"/>
    <row r="3478" ht="54" customHeight="1" x14ac:dyDescent="0.2"/>
    <row r="3479" ht="54" customHeight="1" x14ac:dyDescent="0.2"/>
    <row r="3480" ht="54" customHeight="1" x14ac:dyDescent="0.2"/>
    <row r="3481" ht="54" customHeight="1" x14ac:dyDescent="0.2"/>
    <row r="3482" ht="54" customHeight="1" x14ac:dyDescent="0.2"/>
    <row r="3483" ht="54" customHeight="1" x14ac:dyDescent="0.2"/>
    <row r="3484" ht="54" customHeight="1" x14ac:dyDescent="0.2"/>
    <row r="3485" ht="54" customHeight="1" x14ac:dyDescent="0.2"/>
    <row r="3486" ht="54" customHeight="1" x14ac:dyDescent="0.2"/>
    <row r="3487" ht="54" customHeight="1" x14ac:dyDescent="0.2"/>
    <row r="3488" ht="54" customHeight="1" x14ac:dyDescent="0.2"/>
    <row r="3489" ht="54" customHeight="1" x14ac:dyDescent="0.2"/>
    <row r="3490" ht="54" customHeight="1" x14ac:dyDescent="0.2"/>
    <row r="3491" ht="54" customHeight="1" x14ac:dyDescent="0.2"/>
    <row r="3492" ht="54" customHeight="1" x14ac:dyDescent="0.2"/>
    <row r="3493" ht="54" customHeight="1" x14ac:dyDescent="0.2"/>
    <row r="3494" ht="54" customHeight="1" x14ac:dyDescent="0.2"/>
    <row r="3495" ht="54" customHeight="1" x14ac:dyDescent="0.2"/>
    <row r="3496" ht="54" customHeight="1" x14ac:dyDescent="0.2"/>
    <row r="3497" ht="54" customHeight="1" x14ac:dyDescent="0.2"/>
    <row r="3498" ht="54" customHeight="1" x14ac:dyDescent="0.2"/>
    <row r="3499" ht="54" customHeight="1" x14ac:dyDescent="0.2"/>
    <row r="3500" ht="54" customHeight="1" x14ac:dyDescent="0.2"/>
    <row r="3501" ht="54" customHeight="1" x14ac:dyDescent="0.2"/>
    <row r="3502" ht="54" customHeight="1" x14ac:dyDescent="0.2"/>
    <row r="3503" ht="54" customHeight="1" x14ac:dyDescent="0.2"/>
    <row r="3504" ht="54" customHeight="1" x14ac:dyDescent="0.2"/>
    <row r="3505" ht="54" customHeight="1" x14ac:dyDescent="0.2"/>
    <row r="3506" ht="54" customHeight="1" x14ac:dyDescent="0.2"/>
    <row r="3507" ht="54" customHeight="1" x14ac:dyDescent="0.2"/>
    <row r="3508" ht="54" customHeight="1" x14ac:dyDescent="0.2"/>
    <row r="3509" ht="54" customHeight="1" x14ac:dyDescent="0.2"/>
    <row r="3510" ht="54" customHeight="1" x14ac:dyDescent="0.2"/>
    <row r="3511" ht="54" customHeight="1" x14ac:dyDescent="0.2"/>
    <row r="3512" ht="54" customHeight="1" x14ac:dyDescent="0.2"/>
    <row r="3513" ht="54" customHeight="1" x14ac:dyDescent="0.2"/>
    <row r="3514" ht="54" customHeight="1" x14ac:dyDescent="0.2"/>
    <row r="3515" ht="54" customHeight="1" x14ac:dyDescent="0.2"/>
    <row r="3516" ht="54" customHeight="1" x14ac:dyDescent="0.2"/>
    <row r="3517" ht="54" customHeight="1" x14ac:dyDescent="0.2"/>
    <row r="3518" ht="54" customHeight="1" x14ac:dyDescent="0.2"/>
    <row r="3519" ht="54" customHeight="1" x14ac:dyDescent="0.2"/>
    <row r="3520" ht="54" customHeight="1" x14ac:dyDescent="0.2"/>
    <row r="3521" ht="54" customHeight="1" x14ac:dyDescent="0.2"/>
    <row r="3522" ht="54" customHeight="1" x14ac:dyDescent="0.2"/>
    <row r="3523" ht="54" customHeight="1" x14ac:dyDescent="0.2"/>
    <row r="3524" ht="54" customHeight="1" x14ac:dyDescent="0.2"/>
    <row r="3525" ht="54" customHeight="1" x14ac:dyDescent="0.2"/>
    <row r="3526" ht="54" customHeight="1" x14ac:dyDescent="0.2"/>
    <row r="3527" ht="54" customHeight="1" x14ac:dyDescent="0.2"/>
    <row r="3528" ht="54" customHeight="1" x14ac:dyDescent="0.2"/>
    <row r="3529" ht="54" customHeight="1" x14ac:dyDescent="0.2"/>
    <row r="3530" ht="54" customHeight="1" x14ac:dyDescent="0.2"/>
    <row r="3531" ht="54" customHeight="1" x14ac:dyDescent="0.2"/>
    <row r="3532" ht="54" customHeight="1" x14ac:dyDescent="0.2"/>
    <row r="3533" ht="54" customHeight="1" x14ac:dyDescent="0.2"/>
    <row r="3534" ht="54" customHeight="1" x14ac:dyDescent="0.2"/>
    <row r="3535" ht="54" customHeight="1" x14ac:dyDescent="0.2"/>
    <row r="3536" ht="54" customHeight="1" x14ac:dyDescent="0.2"/>
    <row r="3537" ht="54" customHeight="1" x14ac:dyDescent="0.2"/>
    <row r="3538" ht="54" customHeight="1" x14ac:dyDescent="0.2"/>
    <row r="3539" ht="54" customHeight="1" x14ac:dyDescent="0.2"/>
    <row r="3540" ht="54" customHeight="1" x14ac:dyDescent="0.2"/>
    <row r="3541" ht="54" customHeight="1" x14ac:dyDescent="0.2"/>
    <row r="3542" ht="54" customHeight="1" x14ac:dyDescent="0.2"/>
    <row r="3543" ht="54" customHeight="1" x14ac:dyDescent="0.2"/>
    <row r="3544" ht="54" customHeight="1" x14ac:dyDescent="0.2"/>
    <row r="3545" ht="54" customHeight="1" x14ac:dyDescent="0.2"/>
    <row r="3546" ht="54" customHeight="1" x14ac:dyDescent="0.2"/>
    <row r="3547" ht="54" customHeight="1" x14ac:dyDescent="0.2"/>
    <row r="3548" ht="54" customHeight="1" x14ac:dyDescent="0.2"/>
    <row r="3549" ht="54" customHeight="1" x14ac:dyDescent="0.2"/>
    <row r="3550" ht="54" customHeight="1" x14ac:dyDescent="0.2"/>
    <row r="3551" ht="54" customHeight="1" x14ac:dyDescent="0.2"/>
    <row r="3552" ht="54" customHeight="1" x14ac:dyDescent="0.2"/>
    <row r="3553" ht="54" customHeight="1" x14ac:dyDescent="0.2"/>
    <row r="3554" ht="54" customHeight="1" x14ac:dyDescent="0.2"/>
    <row r="3555" ht="54" customHeight="1" x14ac:dyDescent="0.2"/>
    <row r="3556" ht="54" customHeight="1" x14ac:dyDescent="0.2"/>
    <row r="3557" ht="54" customHeight="1" x14ac:dyDescent="0.2"/>
    <row r="3558" ht="54" customHeight="1" x14ac:dyDescent="0.2"/>
    <row r="3559" ht="54" customHeight="1" x14ac:dyDescent="0.2"/>
    <row r="3560" ht="54" customHeight="1" x14ac:dyDescent="0.2"/>
    <row r="3561" ht="54" customHeight="1" x14ac:dyDescent="0.2"/>
    <row r="3562" ht="54" customHeight="1" x14ac:dyDescent="0.2"/>
    <row r="3563" ht="54" customHeight="1" x14ac:dyDescent="0.2"/>
    <row r="3564" ht="54" customHeight="1" x14ac:dyDescent="0.2"/>
    <row r="3565" ht="54" customHeight="1" x14ac:dyDescent="0.2"/>
    <row r="3566" ht="54" customHeight="1" x14ac:dyDescent="0.2"/>
    <row r="3567" ht="54" customHeight="1" x14ac:dyDescent="0.2"/>
    <row r="3568" ht="54" customHeight="1" x14ac:dyDescent="0.2"/>
    <row r="3569" ht="54" customHeight="1" x14ac:dyDescent="0.2"/>
    <row r="3570" ht="54" customHeight="1" x14ac:dyDescent="0.2"/>
    <row r="3571" ht="54" customHeight="1" x14ac:dyDescent="0.2"/>
    <row r="3572" ht="54" customHeight="1" x14ac:dyDescent="0.2"/>
    <row r="3573" ht="54" customHeight="1" x14ac:dyDescent="0.2"/>
    <row r="3574" ht="54" customHeight="1" x14ac:dyDescent="0.2"/>
    <row r="3575" ht="54" customHeight="1" x14ac:dyDescent="0.2"/>
    <row r="3576" ht="54" customHeight="1" x14ac:dyDescent="0.2"/>
    <row r="3577" ht="54" customHeight="1" x14ac:dyDescent="0.2"/>
    <row r="3578" ht="54" customHeight="1" x14ac:dyDescent="0.2"/>
    <row r="3579" ht="54" customHeight="1" x14ac:dyDescent="0.2"/>
    <row r="3580" ht="54" customHeight="1" x14ac:dyDescent="0.2"/>
    <row r="3581" ht="54" customHeight="1" x14ac:dyDescent="0.2"/>
    <row r="3582" ht="54" customHeight="1" x14ac:dyDescent="0.2"/>
    <row r="3583" ht="54" customHeight="1" x14ac:dyDescent="0.2"/>
    <row r="3584" ht="54" customHeight="1" x14ac:dyDescent="0.2"/>
    <row r="3585" ht="54" customHeight="1" x14ac:dyDescent="0.2"/>
    <row r="3586" ht="54" customHeight="1" x14ac:dyDescent="0.2"/>
    <row r="3587" ht="54" customHeight="1" x14ac:dyDescent="0.2"/>
    <row r="3588" ht="54" customHeight="1" x14ac:dyDescent="0.2"/>
    <row r="3589" ht="54" customHeight="1" x14ac:dyDescent="0.2"/>
    <row r="3590" ht="54" customHeight="1" x14ac:dyDescent="0.2"/>
    <row r="3591" ht="54" customHeight="1" x14ac:dyDescent="0.2"/>
    <row r="3592" ht="54" customHeight="1" x14ac:dyDescent="0.2"/>
    <row r="3593" ht="54" customHeight="1" x14ac:dyDescent="0.2"/>
    <row r="3594" ht="54" customHeight="1" x14ac:dyDescent="0.2"/>
    <row r="3595" ht="54" customHeight="1" x14ac:dyDescent="0.2"/>
    <row r="3596" ht="54" customHeight="1" x14ac:dyDescent="0.2"/>
    <row r="3597" ht="54" customHeight="1" x14ac:dyDescent="0.2"/>
    <row r="3598" ht="54" customHeight="1" x14ac:dyDescent="0.2"/>
    <row r="3599" ht="54" customHeight="1" x14ac:dyDescent="0.2"/>
    <row r="3600" ht="54" customHeight="1" x14ac:dyDescent="0.2"/>
    <row r="3601" ht="54" customHeight="1" x14ac:dyDescent="0.2"/>
    <row r="3602" ht="54" customHeight="1" x14ac:dyDescent="0.2"/>
    <row r="3603" ht="54" customHeight="1" x14ac:dyDescent="0.2"/>
    <row r="3604" ht="54" customHeight="1" x14ac:dyDescent="0.2"/>
    <row r="3605" ht="54" customHeight="1" x14ac:dyDescent="0.2"/>
    <row r="3606" ht="54" customHeight="1" x14ac:dyDescent="0.2"/>
    <row r="3607" ht="54" customHeight="1" x14ac:dyDescent="0.2"/>
    <row r="3608" ht="54" customHeight="1" x14ac:dyDescent="0.2"/>
    <row r="3609" ht="54" customHeight="1" x14ac:dyDescent="0.2"/>
    <row r="3610" ht="54" customHeight="1" x14ac:dyDescent="0.2"/>
    <row r="3611" ht="54" customHeight="1" x14ac:dyDescent="0.2"/>
    <row r="3612" ht="54" customHeight="1" x14ac:dyDescent="0.2"/>
    <row r="3613" ht="54" customHeight="1" x14ac:dyDescent="0.2"/>
    <row r="3614" ht="54" customHeight="1" x14ac:dyDescent="0.2"/>
    <row r="3615" ht="54" customHeight="1" x14ac:dyDescent="0.2"/>
    <row r="3616" ht="54" customHeight="1" x14ac:dyDescent="0.2"/>
    <row r="3617" ht="54" customHeight="1" x14ac:dyDescent="0.2"/>
    <row r="3618" ht="54" customHeight="1" x14ac:dyDescent="0.2"/>
    <row r="3619" ht="54" customHeight="1" x14ac:dyDescent="0.2"/>
    <row r="3620" ht="54" customHeight="1" x14ac:dyDescent="0.2"/>
    <row r="3621" ht="54" customHeight="1" x14ac:dyDescent="0.2"/>
    <row r="3622" ht="54" customHeight="1" x14ac:dyDescent="0.2"/>
    <row r="3623" ht="54" customHeight="1" x14ac:dyDescent="0.2"/>
    <row r="3624" ht="54" customHeight="1" x14ac:dyDescent="0.2"/>
    <row r="3625" ht="54" customHeight="1" x14ac:dyDescent="0.2"/>
    <row r="3626" ht="54" customHeight="1" x14ac:dyDescent="0.2"/>
    <row r="3627" ht="54" customHeight="1" x14ac:dyDescent="0.2"/>
    <row r="3628" ht="54" customHeight="1" x14ac:dyDescent="0.2"/>
    <row r="3629" ht="54" customHeight="1" x14ac:dyDescent="0.2"/>
    <row r="3630" ht="54" customHeight="1" x14ac:dyDescent="0.2"/>
    <row r="3631" ht="54" customHeight="1" x14ac:dyDescent="0.2"/>
    <row r="3632" ht="54" customHeight="1" x14ac:dyDescent="0.2"/>
    <row r="3633" ht="54" customHeight="1" x14ac:dyDescent="0.2"/>
    <row r="3634" ht="54" customHeight="1" x14ac:dyDescent="0.2"/>
    <row r="3635" ht="54" customHeight="1" x14ac:dyDescent="0.2"/>
    <row r="3636" ht="54" customHeight="1" x14ac:dyDescent="0.2"/>
    <row r="3637" ht="54" customHeight="1" x14ac:dyDescent="0.2"/>
    <row r="3638" ht="54" customHeight="1" x14ac:dyDescent="0.2"/>
    <row r="3639" ht="54" customHeight="1" x14ac:dyDescent="0.2"/>
    <row r="3640" ht="54" customHeight="1" x14ac:dyDescent="0.2"/>
    <row r="3641" ht="54" customHeight="1" x14ac:dyDescent="0.2"/>
    <row r="3642" ht="54" customHeight="1" x14ac:dyDescent="0.2"/>
    <row r="3643" ht="54" customHeight="1" x14ac:dyDescent="0.2"/>
    <row r="3644" ht="54" customHeight="1" x14ac:dyDescent="0.2"/>
    <row r="3645" ht="54" customHeight="1" x14ac:dyDescent="0.2"/>
    <row r="3646" ht="54" customHeight="1" x14ac:dyDescent="0.2"/>
    <row r="3647" ht="54" customHeight="1" x14ac:dyDescent="0.2"/>
    <row r="3648" ht="54" customHeight="1" x14ac:dyDescent="0.2"/>
    <row r="3649" ht="54" customHeight="1" x14ac:dyDescent="0.2"/>
    <row r="3650" ht="54" customHeight="1" x14ac:dyDescent="0.2"/>
    <row r="3651" ht="54" customHeight="1" x14ac:dyDescent="0.2"/>
    <row r="3652" ht="54" customHeight="1" x14ac:dyDescent="0.2"/>
    <row r="3653" ht="54" customHeight="1" x14ac:dyDescent="0.2"/>
    <row r="3654" ht="54" customHeight="1" x14ac:dyDescent="0.2"/>
    <row r="3655" ht="54" customHeight="1" x14ac:dyDescent="0.2"/>
    <row r="3656" ht="54" customHeight="1" x14ac:dyDescent="0.2"/>
    <row r="3657" ht="54" customHeight="1" x14ac:dyDescent="0.2"/>
    <row r="3658" ht="54" customHeight="1" x14ac:dyDescent="0.2"/>
    <row r="3659" ht="54" customHeight="1" x14ac:dyDescent="0.2"/>
    <row r="3660" ht="54" customHeight="1" x14ac:dyDescent="0.2"/>
    <row r="3661" ht="54" customHeight="1" x14ac:dyDescent="0.2"/>
    <row r="3662" ht="54" customHeight="1" x14ac:dyDescent="0.2"/>
    <row r="3663" ht="54" customHeight="1" x14ac:dyDescent="0.2"/>
    <row r="3664" ht="54" customHeight="1" x14ac:dyDescent="0.2"/>
    <row r="3665" ht="54" customHeight="1" x14ac:dyDescent="0.2"/>
    <row r="3666" ht="54" customHeight="1" x14ac:dyDescent="0.2"/>
    <row r="3667" ht="54" customHeight="1" x14ac:dyDescent="0.2"/>
    <row r="3668" ht="54" customHeight="1" x14ac:dyDescent="0.2"/>
    <row r="3669" ht="54" customHeight="1" x14ac:dyDescent="0.2"/>
    <row r="3670" ht="54" customHeight="1" x14ac:dyDescent="0.2"/>
    <row r="3671" ht="54" customHeight="1" x14ac:dyDescent="0.2"/>
    <row r="3672" ht="54" customHeight="1" x14ac:dyDescent="0.2"/>
    <row r="3673" ht="54" customHeight="1" x14ac:dyDescent="0.2"/>
    <row r="3674" ht="54" customHeight="1" x14ac:dyDescent="0.2"/>
    <row r="3675" ht="54" customHeight="1" x14ac:dyDescent="0.2"/>
    <row r="3676" ht="54" customHeight="1" x14ac:dyDescent="0.2"/>
    <row r="3677" ht="54" customHeight="1" x14ac:dyDescent="0.2"/>
    <row r="3678" ht="54" customHeight="1" x14ac:dyDescent="0.2"/>
    <row r="3679" ht="54" customHeight="1" x14ac:dyDescent="0.2"/>
    <row r="3680" ht="54" customHeight="1" x14ac:dyDescent="0.2"/>
    <row r="3681" ht="54" customHeight="1" x14ac:dyDescent="0.2"/>
    <row r="3682" ht="54" customHeight="1" x14ac:dyDescent="0.2"/>
    <row r="3683" ht="54" customHeight="1" x14ac:dyDescent="0.2"/>
    <row r="3684" ht="54" customHeight="1" x14ac:dyDescent="0.2"/>
    <row r="3685" ht="54" customHeight="1" x14ac:dyDescent="0.2"/>
    <row r="3686" ht="54" customHeight="1" x14ac:dyDescent="0.2"/>
    <row r="3687" ht="54" customHeight="1" x14ac:dyDescent="0.2"/>
    <row r="3688" ht="54" customHeight="1" x14ac:dyDescent="0.2"/>
    <row r="3689" ht="54" customHeight="1" x14ac:dyDescent="0.2"/>
    <row r="3690" ht="54" customHeight="1" x14ac:dyDescent="0.2"/>
    <row r="3691" ht="54" customHeight="1" x14ac:dyDescent="0.2"/>
    <row r="3692" ht="54" customHeight="1" x14ac:dyDescent="0.2"/>
    <row r="3693" ht="54" customHeight="1" x14ac:dyDescent="0.2"/>
    <row r="3694" ht="54" customHeight="1" x14ac:dyDescent="0.2"/>
    <row r="3695" ht="54" customHeight="1" x14ac:dyDescent="0.2"/>
    <row r="3696" ht="54" customHeight="1" x14ac:dyDescent="0.2"/>
    <row r="3697" ht="54" customHeight="1" x14ac:dyDescent="0.2"/>
    <row r="3698" ht="54" customHeight="1" x14ac:dyDescent="0.2"/>
    <row r="3699" ht="54" customHeight="1" x14ac:dyDescent="0.2"/>
    <row r="3700" ht="54" customHeight="1" x14ac:dyDescent="0.2"/>
    <row r="3701" ht="54" customHeight="1" x14ac:dyDescent="0.2"/>
    <row r="3702" ht="54" customHeight="1" x14ac:dyDescent="0.2"/>
    <row r="3703" ht="54" customHeight="1" x14ac:dyDescent="0.2"/>
    <row r="3704" ht="54" customHeight="1" x14ac:dyDescent="0.2"/>
    <row r="3705" ht="54" customHeight="1" x14ac:dyDescent="0.2"/>
    <row r="3706" ht="54" customHeight="1" x14ac:dyDescent="0.2"/>
    <row r="3707" ht="54" customHeight="1" x14ac:dyDescent="0.2"/>
    <row r="3708" ht="54" customHeight="1" x14ac:dyDescent="0.2"/>
    <row r="3709" ht="54" customHeight="1" x14ac:dyDescent="0.2"/>
    <row r="3710" ht="54" customHeight="1" x14ac:dyDescent="0.2"/>
    <row r="3711" ht="54" customHeight="1" x14ac:dyDescent="0.2"/>
    <row r="3712" ht="54" customHeight="1" x14ac:dyDescent="0.2"/>
    <row r="3713" ht="54" customHeight="1" x14ac:dyDescent="0.2"/>
    <row r="3714" ht="54" customHeight="1" x14ac:dyDescent="0.2"/>
    <row r="3715" ht="54" customHeight="1" x14ac:dyDescent="0.2"/>
    <row r="3716" ht="54" customHeight="1" x14ac:dyDescent="0.2"/>
    <row r="3717" ht="54" customHeight="1" x14ac:dyDescent="0.2"/>
    <row r="3718" ht="54" customHeight="1" x14ac:dyDescent="0.2"/>
    <row r="3719" ht="54" customHeight="1" x14ac:dyDescent="0.2"/>
    <row r="3720" ht="54" customHeight="1" x14ac:dyDescent="0.2"/>
    <row r="3721" ht="54" customHeight="1" x14ac:dyDescent="0.2"/>
    <row r="3722" ht="54" customHeight="1" x14ac:dyDescent="0.2"/>
    <row r="3723" ht="54" customHeight="1" x14ac:dyDescent="0.2"/>
    <row r="3724" ht="54" customHeight="1" x14ac:dyDescent="0.2"/>
    <row r="3725" ht="54" customHeight="1" x14ac:dyDescent="0.2"/>
    <row r="3726" ht="54" customHeight="1" x14ac:dyDescent="0.2"/>
    <row r="3727" ht="54" customHeight="1" x14ac:dyDescent="0.2"/>
    <row r="3728" ht="54" customHeight="1" x14ac:dyDescent="0.2"/>
    <row r="3729" ht="54" customHeight="1" x14ac:dyDescent="0.2"/>
    <row r="3730" ht="54" customHeight="1" x14ac:dyDescent="0.2"/>
    <row r="3731" ht="54" customHeight="1" x14ac:dyDescent="0.2"/>
    <row r="3732" ht="54" customHeight="1" x14ac:dyDescent="0.2"/>
    <row r="3733" ht="54" customHeight="1" x14ac:dyDescent="0.2"/>
    <row r="3734" ht="54" customHeight="1" x14ac:dyDescent="0.2"/>
    <row r="3735" ht="54" customHeight="1" x14ac:dyDescent="0.2"/>
    <row r="3736" ht="54" customHeight="1" x14ac:dyDescent="0.2"/>
    <row r="3737" ht="54" customHeight="1" x14ac:dyDescent="0.2"/>
    <row r="3738" ht="54" customHeight="1" x14ac:dyDescent="0.2"/>
    <row r="3739" ht="54" customHeight="1" x14ac:dyDescent="0.2"/>
    <row r="3740" ht="54" customHeight="1" x14ac:dyDescent="0.2"/>
    <row r="3741" ht="54" customHeight="1" x14ac:dyDescent="0.2"/>
    <row r="3742" ht="54" customHeight="1" x14ac:dyDescent="0.2"/>
    <row r="3743" ht="54" customHeight="1" x14ac:dyDescent="0.2"/>
    <row r="3744" ht="54" customHeight="1" x14ac:dyDescent="0.2"/>
    <row r="3745" ht="54" customHeight="1" x14ac:dyDescent="0.2"/>
    <row r="3746" ht="54" customHeight="1" x14ac:dyDescent="0.2"/>
    <row r="3747" ht="54" customHeight="1" x14ac:dyDescent="0.2"/>
    <row r="3748" ht="54" customHeight="1" x14ac:dyDescent="0.2"/>
    <row r="3749" ht="54" customHeight="1" x14ac:dyDescent="0.2"/>
    <row r="3750" ht="54" customHeight="1" x14ac:dyDescent="0.2"/>
    <row r="3751" ht="54" customHeight="1" x14ac:dyDescent="0.2"/>
    <row r="3752" ht="54" customHeight="1" x14ac:dyDescent="0.2"/>
    <row r="3753" ht="54" customHeight="1" x14ac:dyDescent="0.2"/>
    <row r="3754" ht="54" customHeight="1" x14ac:dyDescent="0.2"/>
    <row r="3755" ht="54" customHeight="1" x14ac:dyDescent="0.2"/>
    <row r="3756" ht="54" customHeight="1" x14ac:dyDescent="0.2"/>
    <row r="3757" ht="54" customHeight="1" x14ac:dyDescent="0.2"/>
    <row r="3758" ht="54" customHeight="1" x14ac:dyDescent="0.2"/>
    <row r="3759" ht="54" customHeight="1" x14ac:dyDescent="0.2"/>
    <row r="3760" ht="54" customHeight="1" x14ac:dyDescent="0.2"/>
    <row r="3761" ht="54" customHeight="1" x14ac:dyDescent="0.2"/>
    <row r="3762" ht="54" customHeight="1" x14ac:dyDescent="0.2"/>
    <row r="3763" ht="54" customHeight="1" x14ac:dyDescent="0.2"/>
    <row r="3764" ht="54" customHeight="1" x14ac:dyDescent="0.2"/>
    <row r="3765" ht="54" customHeight="1" x14ac:dyDescent="0.2"/>
    <row r="3766" ht="54" customHeight="1" x14ac:dyDescent="0.2"/>
    <row r="3767" ht="54" customHeight="1" x14ac:dyDescent="0.2"/>
    <row r="3768" ht="54" customHeight="1" x14ac:dyDescent="0.2"/>
    <row r="3769" ht="54" customHeight="1" x14ac:dyDescent="0.2"/>
    <row r="3770" ht="54" customHeight="1" x14ac:dyDescent="0.2"/>
    <row r="3771" ht="54" customHeight="1" x14ac:dyDescent="0.2"/>
    <row r="3772" ht="54" customHeight="1" x14ac:dyDescent="0.2"/>
    <row r="3773" ht="54" customHeight="1" x14ac:dyDescent="0.2"/>
    <row r="3774" ht="54" customHeight="1" x14ac:dyDescent="0.2"/>
    <row r="3775" ht="54" customHeight="1" x14ac:dyDescent="0.2"/>
    <row r="3776" ht="54" customHeight="1" x14ac:dyDescent="0.2"/>
    <row r="3777" ht="54" customHeight="1" x14ac:dyDescent="0.2"/>
    <row r="3778" ht="54" customHeight="1" x14ac:dyDescent="0.2"/>
    <row r="3779" ht="54" customHeight="1" x14ac:dyDescent="0.2"/>
    <row r="3780" ht="54" customHeight="1" x14ac:dyDescent="0.2"/>
    <row r="3781" ht="54" customHeight="1" x14ac:dyDescent="0.2"/>
    <row r="3782" ht="54" customHeight="1" x14ac:dyDescent="0.2"/>
    <row r="3783" ht="54" customHeight="1" x14ac:dyDescent="0.2"/>
    <row r="3784" ht="54" customHeight="1" x14ac:dyDescent="0.2"/>
    <row r="3785" ht="54" customHeight="1" x14ac:dyDescent="0.2"/>
    <row r="3786" ht="54" customHeight="1" x14ac:dyDescent="0.2"/>
    <row r="3787" ht="54" customHeight="1" x14ac:dyDescent="0.2"/>
    <row r="3788" ht="54" customHeight="1" x14ac:dyDescent="0.2"/>
    <row r="3789" ht="54" customHeight="1" x14ac:dyDescent="0.2"/>
    <row r="3790" ht="54" customHeight="1" x14ac:dyDescent="0.2"/>
    <row r="3791" ht="54" customHeight="1" x14ac:dyDescent="0.2"/>
    <row r="3792" ht="54" customHeight="1" x14ac:dyDescent="0.2"/>
    <row r="3793" ht="54" customHeight="1" x14ac:dyDescent="0.2"/>
    <row r="3794" ht="54" customHeight="1" x14ac:dyDescent="0.2"/>
    <row r="3795" ht="54" customHeight="1" x14ac:dyDescent="0.2"/>
    <row r="3796" ht="54" customHeight="1" x14ac:dyDescent="0.2"/>
    <row r="3797" ht="54" customHeight="1" x14ac:dyDescent="0.2"/>
    <row r="3798" ht="54" customHeight="1" x14ac:dyDescent="0.2"/>
    <row r="3799" ht="54" customHeight="1" x14ac:dyDescent="0.2"/>
    <row r="3800" ht="54" customHeight="1" x14ac:dyDescent="0.2"/>
    <row r="3801" ht="54" customHeight="1" x14ac:dyDescent="0.2"/>
    <row r="3802" ht="54" customHeight="1" x14ac:dyDescent="0.2"/>
    <row r="3803" ht="54" customHeight="1" x14ac:dyDescent="0.2"/>
    <row r="3804" ht="54" customHeight="1" x14ac:dyDescent="0.2"/>
    <row r="3805" ht="54" customHeight="1" x14ac:dyDescent="0.2"/>
    <row r="3806" ht="54" customHeight="1" x14ac:dyDescent="0.2"/>
    <row r="3807" ht="54" customHeight="1" x14ac:dyDescent="0.2"/>
    <row r="3808" ht="54" customHeight="1" x14ac:dyDescent="0.2"/>
    <row r="3809" ht="54" customHeight="1" x14ac:dyDescent="0.2"/>
    <row r="3810" ht="54" customHeight="1" x14ac:dyDescent="0.2"/>
    <row r="3811" ht="54" customHeight="1" x14ac:dyDescent="0.2"/>
    <row r="3812" ht="54" customHeight="1" x14ac:dyDescent="0.2"/>
    <row r="3813" ht="54" customHeight="1" x14ac:dyDescent="0.2"/>
    <row r="3814" ht="54" customHeight="1" x14ac:dyDescent="0.2"/>
    <row r="3815" ht="54" customHeight="1" x14ac:dyDescent="0.2"/>
    <row r="3816" ht="54" customHeight="1" x14ac:dyDescent="0.2"/>
    <row r="3817" ht="54" customHeight="1" x14ac:dyDescent="0.2"/>
    <row r="3818" ht="54" customHeight="1" x14ac:dyDescent="0.2"/>
    <row r="3819" ht="54" customHeight="1" x14ac:dyDescent="0.2"/>
    <row r="3820" ht="54" customHeight="1" x14ac:dyDescent="0.2"/>
    <row r="3821" ht="54" customHeight="1" x14ac:dyDescent="0.2"/>
    <row r="3822" ht="54" customHeight="1" x14ac:dyDescent="0.2"/>
    <row r="3823" ht="54" customHeight="1" x14ac:dyDescent="0.2"/>
    <row r="3824" ht="54" customHeight="1" x14ac:dyDescent="0.2"/>
    <row r="3825" ht="54" customHeight="1" x14ac:dyDescent="0.2"/>
    <row r="3826" ht="54" customHeight="1" x14ac:dyDescent="0.2"/>
    <row r="3827" ht="54" customHeight="1" x14ac:dyDescent="0.2"/>
    <row r="3828" ht="54" customHeight="1" x14ac:dyDescent="0.2"/>
    <row r="3829" ht="54" customHeight="1" x14ac:dyDescent="0.2"/>
    <row r="3830" ht="54" customHeight="1" x14ac:dyDescent="0.2"/>
    <row r="3831" ht="54" customHeight="1" x14ac:dyDescent="0.2"/>
    <row r="3832" ht="54" customHeight="1" x14ac:dyDescent="0.2"/>
    <row r="3833" ht="54" customHeight="1" x14ac:dyDescent="0.2"/>
    <row r="3834" ht="54" customHeight="1" x14ac:dyDescent="0.2"/>
    <row r="3835" ht="54" customHeight="1" x14ac:dyDescent="0.2"/>
    <row r="3836" ht="54" customHeight="1" x14ac:dyDescent="0.2"/>
    <row r="3837" ht="54" customHeight="1" x14ac:dyDescent="0.2"/>
    <row r="3838" ht="54" customHeight="1" x14ac:dyDescent="0.2"/>
    <row r="3839" ht="54" customHeight="1" x14ac:dyDescent="0.2"/>
    <row r="3840" ht="54" customHeight="1" x14ac:dyDescent="0.2"/>
    <row r="3841" ht="54" customHeight="1" x14ac:dyDescent="0.2"/>
    <row r="3842" ht="54" customHeight="1" x14ac:dyDescent="0.2"/>
    <row r="3843" ht="54" customHeight="1" x14ac:dyDescent="0.2"/>
    <row r="3844" ht="54" customHeight="1" x14ac:dyDescent="0.2"/>
    <row r="3845" ht="54" customHeight="1" x14ac:dyDescent="0.2"/>
    <row r="3846" ht="54" customHeight="1" x14ac:dyDescent="0.2"/>
    <row r="3847" ht="54" customHeight="1" x14ac:dyDescent="0.2"/>
    <row r="3848" ht="54" customHeight="1" x14ac:dyDescent="0.2"/>
    <row r="3849" ht="54" customHeight="1" x14ac:dyDescent="0.2"/>
    <row r="3850" ht="54" customHeight="1" x14ac:dyDescent="0.2"/>
    <row r="3851" ht="54" customHeight="1" x14ac:dyDescent="0.2"/>
    <row r="3852" ht="54" customHeight="1" x14ac:dyDescent="0.2"/>
    <row r="3853" ht="54" customHeight="1" x14ac:dyDescent="0.2"/>
    <row r="3854" ht="54" customHeight="1" x14ac:dyDescent="0.2"/>
    <row r="3855" ht="54" customHeight="1" x14ac:dyDescent="0.2"/>
    <row r="3856" ht="54" customHeight="1" x14ac:dyDescent="0.2"/>
    <row r="3857" ht="54" customHeight="1" x14ac:dyDescent="0.2"/>
    <row r="3858" ht="54" customHeight="1" x14ac:dyDescent="0.2"/>
    <row r="3859" ht="54" customHeight="1" x14ac:dyDescent="0.2"/>
    <row r="3860" ht="54" customHeight="1" x14ac:dyDescent="0.2"/>
    <row r="3861" ht="54" customHeight="1" x14ac:dyDescent="0.2"/>
    <row r="3862" ht="54" customHeight="1" x14ac:dyDescent="0.2"/>
    <row r="3863" ht="54" customHeight="1" x14ac:dyDescent="0.2"/>
    <row r="3864" ht="54" customHeight="1" x14ac:dyDescent="0.2"/>
    <row r="3865" ht="54" customHeight="1" x14ac:dyDescent="0.2"/>
    <row r="3866" ht="54" customHeight="1" x14ac:dyDescent="0.2"/>
    <row r="3867" ht="54" customHeight="1" x14ac:dyDescent="0.2"/>
    <row r="3868" ht="54" customHeight="1" x14ac:dyDescent="0.2"/>
    <row r="3869" ht="54" customHeight="1" x14ac:dyDescent="0.2"/>
    <row r="3870" ht="54" customHeight="1" x14ac:dyDescent="0.2"/>
    <row r="3871" ht="54" customHeight="1" x14ac:dyDescent="0.2"/>
    <row r="3872" ht="54" customHeight="1" x14ac:dyDescent="0.2"/>
    <row r="3873" ht="54" customHeight="1" x14ac:dyDescent="0.2"/>
    <row r="3874" ht="54" customHeight="1" x14ac:dyDescent="0.2"/>
    <row r="3875" ht="54" customHeight="1" x14ac:dyDescent="0.2"/>
    <row r="3876" ht="54" customHeight="1" x14ac:dyDescent="0.2"/>
    <row r="3877" ht="54" customHeight="1" x14ac:dyDescent="0.2"/>
    <row r="3878" ht="54" customHeight="1" x14ac:dyDescent="0.2"/>
    <row r="3879" ht="54" customHeight="1" x14ac:dyDescent="0.2"/>
    <row r="3880" ht="54" customHeight="1" x14ac:dyDescent="0.2"/>
    <row r="3881" ht="54" customHeight="1" x14ac:dyDescent="0.2"/>
    <row r="3882" ht="54" customHeight="1" x14ac:dyDescent="0.2"/>
    <row r="3883" ht="54" customHeight="1" x14ac:dyDescent="0.2"/>
    <row r="3884" ht="54" customHeight="1" x14ac:dyDescent="0.2"/>
    <row r="3885" ht="54" customHeight="1" x14ac:dyDescent="0.2"/>
    <row r="3886" ht="54" customHeight="1" x14ac:dyDescent="0.2"/>
    <row r="3887" ht="54" customHeight="1" x14ac:dyDescent="0.2"/>
    <row r="3888" ht="54" customHeight="1" x14ac:dyDescent="0.2"/>
    <row r="3889" ht="54" customHeight="1" x14ac:dyDescent="0.2"/>
    <row r="3890" ht="54" customHeight="1" x14ac:dyDescent="0.2"/>
    <row r="3891" ht="54" customHeight="1" x14ac:dyDescent="0.2"/>
    <row r="3892" ht="54" customHeight="1" x14ac:dyDescent="0.2"/>
    <row r="3893" ht="54" customHeight="1" x14ac:dyDescent="0.2"/>
    <row r="3894" ht="54" customHeight="1" x14ac:dyDescent="0.2"/>
    <row r="3895" ht="54" customHeight="1" x14ac:dyDescent="0.2"/>
    <row r="3896" ht="54" customHeight="1" x14ac:dyDescent="0.2"/>
    <row r="3897" ht="54" customHeight="1" x14ac:dyDescent="0.2"/>
    <row r="3898" ht="54" customHeight="1" x14ac:dyDescent="0.2"/>
    <row r="3899" ht="54" customHeight="1" x14ac:dyDescent="0.2"/>
    <row r="3900" ht="54" customHeight="1" x14ac:dyDescent="0.2"/>
    <row r="3901" ht="54" customHeight="1" x14ac:dyDescent="0.2"/>
    <row r="3902" ht="54" customHeight="1" x14ac:dyDescent="0.2"/>
    <row r="3903" ht="54" customHeight="1" x14ac:dyDescent="0.2"/>
    <row r="3904" ht="54" customHeight="1" x14ac:dyDescent="0.2"/>
    <row r="3905" ht="54" customHeight="1" x14ac:dyDescent="0.2"/>
    <row r="3906" ht="54" customHeight="1" x14ac:dyDescent="0.2"/>
    <row r="3907" ht="54" customHeight="1" x14ac:dyDescent="0.2"/>
    <row r="3908" ht="54" customHeight="1" x14ac:dyDescent="0.2"/>
    <row r="3909" ht="54" customHeight="1" x14ac:dyDescent="0.2"/>
    <row r="3910" ht="54" customHeight="1" x14ac:dyDescent="0.2"/>
    <row r="3911" ht="54" customHeight="1" x14ac:dyDescent="0.2"/>
    <row r="3912" ht="54" customHeight="1" x14ac:dyDescent="0.2"/>
    <row r="3913" ht="54" customHeight="1" x14ac:dyDescent="0.2"/>
    <row r="3914" ht="54" customHeight="1" x14ac:dyDescent="0.2"/>
    <row r="3915" ht="54" customHeight="1" x14ac:dyDescent="0.2"/>
    <row r="3916" ht="54" customHeight="1" x14ac:dyDescent="0.2"/>
    <row r="3917" ht="54" customHeight="1" x14ac:dyDescent="0.2"/>
    <row r="3918" ht="54" customHeight="1" x14ac:dyDescent="0.2"/>
    <row r="3919" ht="54" customHeight="1" x14ac:dyDescent="0.2"/>
    <row r="3920" ht="54" customHeight="1" x14ac:dyDescent="0.2"/>
    <row r="3921" ht="54" customHeight="1" x14ac:dyDescent="0.2"/>
    <row r="3922" ht="54" customHeight="1" x14ac:dyDescent="0.2"/>
    <row r="3923" ht="54" customHeight="1" x14ac:dyDescent="0.2"/>
    <row r="3924" ht="54" customHeight="1" x14ac:dyDescent="0.2"/>
    <row r="3925" ht="54" customHeight="1" x14ac:dyDescent="0.2"/>
    <row r="3926" ht="54" customHeight="1" x14ac:dyDescent="0.2"/>
    <row r="3927" ht="54" customHeight="1" x14ac:dyDescent="0.2"/>
    <row r="3928" ht="54" customHeight="1" x14ac:dyDescent="0.2"/>
    <row r="3929" ht="54" customHeight="1" x14ac:dyDescent="0.2"/>
    <row r="3930" ht="54" customHeight="1" x14ac:dyDescent="0.2"/>
    <row r="3931" ht="54" customHeight="1" x14ac:dyDescent="0.2"/>
    <row r="3932" ht="54" customHeight="1" x14ac:dyDescent="0.2"/>
    <row r="3933" ht="54" customHeight="1" x14ac:dyDescent="0.2"/>
    <row r="3934" ht="54" customHeight="1" x14ac:dyDescent="0.2"/>
    <row r="3935" ht="54" customHeight="1" x14ac:dyDescent="0.2"/>
    <row r="3936" ht="54" customHeight="1" x14ac:dyDescent="0.2"/>
    <row r="3937" ht="54" customHeight="1" x14ac:dyDescent="0.2"/>
    <row r="3938" ht="54" customHeight="1" x14ac:dyDescent="0.2"/>
    <row r="3939" ht="54" customHeight="1" x14ac:dyDescent="0.2"/>
    <row r="3940" ht="54" customHeight="1" x14ac:dyDescent="0.2"/>
    <row r="3941" ht="54" customHeight="1" x14ac:dyDescent="0.2"/>
    <row r="3942" ht="54" customHeight="1" x14ac:dyDescent="0.2"/>
    <row r="3943" ht="54" customHeight="1" x14ac:dyDescent="0.2"/>
    <row r="3944" ht="54" customHeight="1" x14ac:dyDescent="0.2"/>
    <row r="3945" ht="54" customHeight="1" x14ac:dyDescent="0.2"/>
    <row r="3946" ht="54" customHeight="1" x14ac:dyDescent="0.2"/>
    <row r="3947" ht="54" customHeight="1" x14ac:dyDescent="0.2"/>
    <row r="3948" ht="54" customHeight="1" x14ac:dyDescent="0.2"/>
    <row r="3949" ht="54" customHeight="1" x14ac:dyDescent="0.2"/>
    <row r="3950" ht="54" customHeight="1" x14ac:dyDescent="0.2"/>
    <row r="3951" ht="54" customHeight="1" x14ac:dyDescent="0.2"/>
    <row r="3952" ht="54" customHeight="1" x14ac:dyDescent="0.2"/>
    <row r="3953" ht="54" customHeight="1" x14ac:dyDescent="0.2"/>
    <row r="3954" ht="54" customHeight="1" x14ac:dyDescent="0.2"/>
    <row r="3955" ht="54" customHeight="1" x14ac:dyDescent="0.2"/>
    <row r="3956" ht="54" customHeight="1" x14ac:dyDescent="0.2"/>
    <row r="3957" ht="54" customHeight="1" x14ac:dyDescent="0.2"/>
    <row r="3958" ht="54" customHeight="1" x14ac:dyDescent="0.2"/>
    <row r="3959" ht="54" customHeight="1" x14ac:dyDescent="0.2"/>
    <row r="3960" ht="54" customHeight="1" x14ac:dyDescent="0.2"/>
    <row r="3961" ht="54" customHeight="1" x14ac:dyDescent="0.2"/>
    <row r="3962" ht="54" customHeight="1" x14ac:dyDescent="0.2"/>
    <row r="3963" ht="54" customHeight="1" x14ac:dyDescent="0.2"/>
    <row r="3964" ht="54" customHeight="1" x14ac:dyDescent="0.2"/>
    <row r="3965" ht="54" customHeight="1" x14ac:dyDescent="0.2"/>
    <row r="3966" ht="54" customHeight="1" x14ac:dyDescent="0.2"/>
    <row r="3967" ht="54" customHeight="1" x14ac:dyDescent="0.2"/>
    <row r="3968" ht="54" customHeight="1" x14ac:dyDescent="0.2"/>
    <row r="3969" ht="54" customHeight="1" x14ac:dyDescent="0.2"/>
    <row r="3970" ht="54" customHeight="1" x14ac:dyDescent="0.2"/>
    <row r="3971" ht="54" customHeight="1" x14ac:dyDescent="0.2"/>
    <row r="3972" ht="54" customHeight="1" x14ac:dyDescent="0.2"/>
    <row r="3973" ht="54" customHeight="1" x14ac:dyDescent="0.2"/>
    <row r="3974" ht="54" customHeight="1" x14ac:dyDescent="0.2"/>
    <row r="3975" ht="54" customHeight="1" x14ac:dyDescent="0.2"/>
    <row r="3976" ht="54" customHeight="1" x14ac:dyDescent="0.2"/>
    <row r="3977" ht="54" customHeight="1" x14ac:dyDescent="0.2"/>
    <row r="3978" ht="54" customHeight="1" x14ac:dyDescent="0.2"/>
    <row r="3979" ht="54" customHeight="1" x14ac:dyDescent="0.2"/>
    <row r="3980" ht="54" customHeight="1" x14ac:dyDescent="0.2"/>
    <row r="3981" ht="54" customHeight="1" x14ac:dyDescent="0.2"/>
    <row r="3982" ht="54" customHeight="1" x14ac:dyDescent="0.2"/>
    <row r="3983" ht="54" customHeight="1" x14ac:dyDescent="0.2"/>
    <row r="3984" ht="54" customHeight="1" x14ac:dyDescent="0.2"/>
    <row r="3985" ht="54" customHeight="1" x14ac:dyDescent="0.2"/>
    <row r="3986" ht="54" customHeight="1" x14ac:dyDescent="0.2"/>
    <row r="3987" ht="54" customHeight="1" x14ac:dyDescent="0.2"/>
    <row r="3988" ht="54" customHeight="1" x14ac:dyDescent="0.2"/>
    <row r="3989" ht="54" customHeight="1" x14ac:dyDescent="0.2"/>
    <row r="3990" ht="54" customHeight="1" x14ac:dyDescent="0.2"/>
    <row r="3991" ht="54" customHeight="1" x14ac:dyDescent="0.2"/>
    <row r="3992" ht="54" customHeight="1" x14ac:dyDescent="0.2"/>
    <row r="3993" ht="54" customHeight="1" x14ac:dyDescent="0.2"/>
    <row r="3994" ht="54" customHeight="1" x14ac:dyDescent="0.2"/>
    <row r="3995" ht="54" customHeight="1" x14ac:dyDescent="0.2"/>
    <row r="3996" ht="54" customHeight="1" x14ac:dyDescent="0.2"/>
    <row r="3997" ht="54" customHeight="1" x14ac:dyDescent="0.2"/>
    <row r="3998" ht="54" customHeight="1" x14ac:dyDescent="0.2"/>
    <row r="3999" ht="54" customHeight="1" x14ac:dyDescent="0.2"/>
    <row r="4000" ht="54" customHeight="1" x14ac:dyDescent="0.2"/>
    <row r="4001" ht="54" customHeight="1" x14ac:dyDescent="0.2"/>
    <row r="4002" ht="54" customHeight="1" x14ac:dyDescent="0.2"/>
    <row r="4003" ht="54" customHeight="1" x14ac:dyDescent="0.2"/>
    <row r="4004" ht="54" customHeight="1" x14ac:dyDescent="0.2"/>
    <row r="4005" ht="54" customHeight="1" x14ac:dyDescent="0.2"/>
    <row r="4006" ht="54" customHeight="1" x14ac:dyDescent="0.2"/>
    <row r="4007" ht="54" customHeight="1" x14ac:dyDescent="0.2"/>
    <row r="4008" ht="54" customHeight="1" x14ac:dyDescent="0.2"/>
    <row r="4009" ht="54" customHeight="1" x14ac:dyDescent="0.2"/>
    <row r="4010" ht="54" customHeight="1" x14ac:dyDescent="0.2"/>
    <row r="4011" ht="54" customHeight="1" x14ac:dyDescent="0.2"/>
    <row r="4012" ht="54" customHeight="1" x14ac:dyDescent="0.2"/>
    <row r="4013" ht="54" customHeight="1" x14ac:dyDescent="0.2"/>
    <row r="4014" ht="54" customHeight="1" x14ac:dyDescent="0.2"/>
    <row r="4015" ht="54" customHeight="1" x14ac:dyDescent="0.2"/>
    <row r="4016" ht="54" customHeight="1" x14ac:dyDescent="0.2"/>
    <row r="4017" ht="54" customHeight="1" x14ac:dyDescent="0.2"/>
    <row r="4018" ht="54" customHeight="1" x14ac:dyDescent="0.2"/>
    <row r="4019" ht="54" customHeight="1" x14ac:dyDescent="0.2"/>
    <row r="4020" ht="54" customHeight="1" x14ac:dyDescent="0.2"/>
    <row r="4021" ht="54" customHeight="1" x14ac:dyDescent="0.2"/>
    <row r="4022" ht="54" customHeight="1" x14ac:dyDescent="0.2"/>
    <row r="4023" ht="54" customHeight="1" x14ac:dyDescent="0.2"/>
    <row r="4024" ht="54" customHeight="1" x14ac:dyDescent="0.2"/>
    <row r="4025" ht="54" customHeight="1" x14ac:dyDescent="0.2"/>
    <row r="4026" ht="54" customHeight="1" x14ac:dyDescent="0.2"/>
    <row r="4027" ht="54" customHeight="1" x14ac:dyDescent="0.2"/>
    <row r="4028" ht="54" customHeight="1" x14ac:dyDescent="0.2"/>
    <row r="4029" ht="54" customHeight="1" x14ac:dyDescent="0.2"/>
    <row r="4030" ht="54" customHeight="1" x14ac:dyDescent="0.2"/>
    <row r="4031" ht="54" customHeight="1" x14ac:dyDescent="0.2"/>
    <row r="4032" ht="54" customHeight="1" x14ac:dyDescent="0.2"/>
    <row r="4033" ht="54" customHeight="1" x14ac:dyDescent="0.2"/>
    <row r="4034" ht="54" customHeight="1" x14ac:dyDescent="0.2"/>
    <row r="4035" ht="54" customHeight="1" x14ac:dyDescent="0.2"/>
    <row r="4036" ht="54" customHeight="1" x14ac:dyDescent="0.2"/>
    <row r="4037" ht="54" customHeight="1" x14ac:dyDescent="0.2"/>
    <row r="4038" ht="54" customHeight="1" x14ac:dyDescent="0.2"/>
    <row r="4039" ht="54" customHeight="1" x14ac:dyDescent="0.2"/>
    <row r="4040" ht="54" customHeight="1" x14ac:dyDescent="0.2"/>
    <row r="4041" ht="54" customHeight="1" x14ac:dyDescent="0.2"/>
    <row r="4042" ht="54" customHeight="1" x14ac:dyDescent="0.2"/>
    <row r="4043" ht="54" customHeight="1" x14ac:dyDescent="0.2"/>
    <row r="4044" ht="54" customHeight="1" x14ac:dyDescent="0.2"/>
    <row r="4045" ht="54" customHeight="1" x14ac:dyDescent="0.2"/>
    <row r="4046" ht="54" customHeight="1" x14ac:dyDescent="0.2"/>
    <row r="4047" ht="54" customHeight="1" x14ac:dyDescent="0.2"/>
    <row r="4048" ht="54" customHeight="1" x14ac:dyDescent="0.2"/>
    <row r="4049" ht="54" customHeight="1" x14ac:dyDescent="0.2"/>
    <row r="4050" ht="54" customHeight="1" x14ac:dyDescent="0.2"/>
    <row r="4051" ht="54" customHeight="1" x14ac:dyDescent="0.2"/>
    <row r="4052" ht="54" customHeight="1" x14ac:dyDescent="0.2"/>
    <row r="4053" ht="54" customHeight="1" x14ac:dyDescent="0.2"/>
    <row r="4054" ht="54" customHeight="1" x14ac:dyDescent="0.2"/>
    <row r="4055" ht="54" customHeight="1" x14ac:dyDescent="0.2"/>
    <row r="4056" ht="54" customHeight="1" x14ac:dyDescent="0.2"/>
    <row r="4057" ht="54" customHeight="1" x14ac:dyDescent="0.2"/>
    <row r="4058" ht="54" customHeight="1" x14ac:dyDescent="0.2"/>
    <row r="4059" ht="54" customHeight="1" x14ac:dyDescent="0.2"/>
    <row r="4060" ht="54" customHeight="1" x14ac:dyDescent="0.2"/>
    <row r="4061" ht="54" customHeight="1" x14ac:dyDescent="0.2"/>
    <row r="4062" ht="54" customHeight="1" x14ac:dyDescent="0.2"/>
    <row r="4063" ht="54" customHeight="1" x14ac:dyDescent="0.2"/>
    <row r="4064" ht="54" customHeight="1" x14ac:dyDescent="0.2"/>
    <row r="4065" ht="54" customHeight="1" x14ac:dyDescent="0.2"/>
    <row r="4066" ht="54" customHeight="1" x14ac:dyDescent="0.2"/>
    <row r="4067" ht="54" customHeight="1" x14ac:dyDescent="0.2"/>
    <row r="4068" ht="54" customHeight="1" x14ac:dyDescent="0.2"/>
    <row r="4069" ht="54" customHeight="1" x14ac:dyDescent="0.2"/>
    <row r="4070" ht="54" customHeight="1" x14ac:dyDescent="0.2"/>
    <row r="4071" ht="54" customHeight="1" x14ac:dyDescent="0.2"/>
    <row r="4072" ht="54" customHeight="1" x14ac:dyDescent="0.2"/>
    <row r="4073" ht="54" customHeight="1" x14ac:dyDescent="0.2"/>
    <row r="4074" ht="54" customHeight="1" x14ac:dyDescent="0.2"/>
    <row r="4075" ht="54" customHeight="1" x14ac:dyDescent="0.2"/>
    <row r="4076" ht="54" customHeight="1" x14ac:dyDescent="0.2"/>
    <row r="4077" ht="54" customHeight="1" x14ac:dyDescent="0.2"/>
    <row r="4078" ht="54" customHeight="1" x14ac:dyDescent="0.2"/>
    <row r="4079" ht="54" customHeight="1" x14ac:dyDescent="0.2"/>
    <row r="4080" ht="54" customHeight="1" x14ac:dyDescent="0.2"/>
    <row r="4081" ht="54" customHeight="1" x14ac:dyDescent="0.2"/>
    <row r="4082" ht="54" customHeight="1" x14ac:dyDescent="0.2"/>
    <row r="4083" ht="54" customHeight="1" x14ac:dyDescent="0.2"/>
    <row r="4084" ht="54" customHeight="1" x14ac:dyDescent="0.2"/>
    <row r="4085" ht="54" customHeight="1" x14ac:dyDescent="0.2"/>
    <row r="4086" ht="54" customHeight="1" x14ac:dyDescent="0.2"/>
    <row r="4087" ht="54" customHeight="1" x14ac:dyDescent="0.2"/>
    <row r="4088" ht="54" customHeight="1" x14ac:dyDescent="0.2"/>
    <row r="4089" ht="54" customHeight="1" x14ac:dyDescent="0.2"/>
    <row r="4090" ht="54" customHeight="1" x14ac:dyDescent="0.2"/>
    <row r="4091" ht="54" customHeight="1" x14ac:dyDescent="0.2"/>
    <row r="4092" ht="54" customHeight="1" x14ac:dyDescent="0.2"/>
    <row r="4093" ht="54" customHeight="1" x14ac:dyDescent="0.2"/>
    <row r="4094" ht="54" customHeight="1" x14ac:dyDescent="0.2"/>
    <row r="4095" ht="54" customHeight="1" x14ac:dyDescent="0.2"/>
    <row r="4096" ht="54" customHeight="1" x14ac:dyDescent="0.2"/>
    <row r="4097" ht="54" customHeight="1" x14ac:dyDescent="0.2"/>
    <row r="4098" ht="54" customHeight="1" x14ac:dyDescent="0.2"/>
    <row r="4099" ht="54" customHeight="1" x14ac:dyDescent="0.2"/>
    <row r="4100" ht="54" customHeight="1" x14ac:dyDescent="0.2"/>
    <row r="4101" ht="54" customHeight="1" x14ac:dyDescent="0.2"/>
    <row r="4102" ht="54" customHeight="1" x14ac:dyDescent="0.2"/>
    <row r="4103" ht="54" customHeight="1" x14ac:dyDescent="0.2"/>
    <row r="4104" ht="54" customHeight="1" x14ac:dyDescent="0.2"/>
    <row r="4105" ht="54" customHeight="1" x14ac:dyDescent="0.2"/>
    <row r="4106" ht="54" customHeight="1" x14ac:dyDescent="0.2"/>
    <row r="4107" ht="54" customHeight="1" x14ac:dyDescent="0.2"/>
    <row r="4108" ht="54" customHeight="1" x14ac:dyDescent="0.2"/>
    <row r="4109" ht="54" customHeight="1" x14ac:dyDescent="0.2"/>
    <row r="4110" ht="54" customHeight="1" x14ac:dyDescent="0.2"/>
    <row r="4111" ht="54" customHeight="1" x14ac:dyDescent="0.2"/>
    <row r="4112" ht="54" customHeight="1" x14ac:dyDescent="0.2"/>
    <row r="4113" ht="54" customHeight="1" x14ac:dyDescent="0.2"/>
    <row r="4114" ht="54" customHeight="1" x14ac:dyDescent="0.2"/>
    <row r="4115" ht="54" customHeight="1" x14ac:dyDescent="0.2"/>
    <row r="4116" ht="54" customHeight="1" x14ac:dyDescent="0.2"/>
    <row r="4117" ht="54" customHeight="1" x14ac:dyDescent="0.2"/>
    <row r="4118" ht="54" customHeight="1" x14ac:dyDescent="0.2"/>
    <row r="4119" ht="54" customHeight="1" x14ac:dyDescent="0.2"/>
    <row r="4120" ht="54" customHeight="1" x14ac:dyDescent="0.2"/>
    <row r="4121" ht="54" customHeight="1" x14ac:dyDescent="0.2"/>
    <row r="4122" ht="54" customHeight="1" x14ac:dyDescent="0.2"/>
    <row r="4123" ht="54" customHeight="1" x14ac:dyDescent="0.2"/>
    <row r="4124" ht="54" customHeight="1" x14ac:dyDescent="0.2"/>
    <row r="4125" ht="54" customHeight="1" x14ac:dyDescent="0.2"/>
    <row r="4126" ht="54" customHeight="1" x14ac:dyDescent="0.2"/>
    <row r="4127" ht="54" customHeight="1" x14ac:dyDescent="0.2"/>
    <row r="4128" ht="54" customHeight="1" x14ac:dyDescent="0.2"/>
    <row r="4129" ht="54" customHeight="1" x14ac:dyDescent="0.2"/>
    <row r="4130" ht="54" customHeight="1" x14ac:dyDescent="0.2"/>
    <row r="4131" ht="54" customHeight="1" x14ac:dyDescent="0.2"/>
    <row r="4132" ht="54" customHeight="1" x14ac:dyDescent="0.2"/>
    <row r="4133" ht="54" customHeight="1" x14ac:dyDescent="0.2"/>
    <row r="4134" ht="54" customHeight="1" x14ac:dyDescent="0.2"/>
    <row r="4135" ht="54" customHeight="1" x14ac:dyDescent="0.2"/>
    <row r="4136" ht="54" customHeight="1" x14ac:dyDescent="0.2"/>
    <row r="4137" ht="54" customHeight="1" x14ac:dyDescent="0.2"/>
    <row r="4138" ht="54" customHeight="1" x14ac:dyDescent="0.2"/>
  </sheetData>
  <mergeCells count="1552">
    <mergeCell ref="E2146:F2146"/>
    <mergeCell ref="E2147:F2147"/>
    <mergeCell ref="A2173:C2173"/>
    <mergeCell ref="F2173:G2173"/>
    <mergeCell ref="H2173:J2173"/>
    <mergeCell ref="H2149:I2149"/>
    <mergeCell ref="E2152:F2152"/>
    <mergeCell ref="E2153:F2153"/>
    <mergeCell ref="E2154:F2154"/>
    <mergeCell ref="E2155:F2155"/>
    <mergeCell ref="H2157:I2157"/>
    <mergeCell ref="F2160:G2160"/>
    <mergeCell ref="E2161:F2161"/>
    <mergeCell ref="E2162:F2162"/>
    <mergeCell ref="E2163:F2163"/>
    <mergeCell ref="E2164:F2164"/>
    <mergeCell ref="E2165:F2165"/>
    <mergeCell ref="H2167:I2167"/>
    <mergeCell ref="A2171:C2171"/>
    <mergeCell ref="F2171:G2171"/>
    <mergeCell ref="H2171:J2171"/>
    <mergeCell ref="A2172:C2172"/>
    <mergeCell ref="F2172:G2172"/>
    <mergeCell ref="H2172:J2172"/>
    <mergeCell ref="E2123:F2123"/>
    <mergeCell ref="E2124:F2124"/>
    <mergeCell ref="E2125:F2125"/>
    <mergeCell ref="E2126:F2126"/>
    <mergeCell ref="E2127:F2127"/>
    <mergeCell ref="H2129:I2129"/>
    <mergeCell ref="F2132:G2132"/>
    <mergeCell ref="F2133:G2133"/>
    <mergeCell ref="E2134:F2134"/>
    <mergeCell ref="E2135:F2135"/>
    <mergeCell ref="E2136:F2136"/>
    <mergeCell ref="H2138:I2138"/>
    <mergeCell ref="F2141:G2141"/>
    <mergeCell ref="E2142:F2142"/>
    <mergeCell ref="E2143:F2143"/>
    <mergeCell ref="E2144:F2144"/>
    <mergeCell ref="E2145:F2145"/>
    <mergeCell ref="H2098:I2098"/>
    <mergeCell ref="E2101:F2101"/>
    <mergeCell ref="E2102:F2102"/>
    <mergeCell ref="E2103:F2103"/>
    <mergeCell ref="E2104:F2104"/>
    <mergeCell ref="E2105:F2105"/>
    <mergeCell ref="E2106:F2106"/>
    <mergeCell ref="E2107:F2107"/>
    <mergeCell ref="H2109:I2109"/>
    <mergeCell ref="F2112:G2112"/>
    <mergeCell ref="E2113:F2113"/>
    <mergeCell ref="E2114:F2114"/>
    <mergeCell ref="E2115:F2115"/>
    <mergeCell ref="E2116:F2116"/>
    <mergeCell ref="H2118:I2118"/>
    <mergeCell ref="E2121:F2121"/>
    <mergeCell ref="E2122:F2122"/>
    <mergeCell ref="E2071:F2071"/>
    <mergeCell ref="E2072:F2072"/>
    <mergeCell ref="H2074:I2074"/>
    <mergeCell ref="E2077:F2077"/>
    <mergeCell ref="E2078:F2078"/>
    <mergeCell ref="H2080:I2080"/>
    <mergeCell ref="E2083:F2083"/>
    <mergeCell ref="E2084:F2084"/>
    <mergeCell ref="H2086:I2086"/>
    <mergeCell ref="E2089:F2089"/>
    <mergeCell ref="E2090:F2090"/>
    <mergeCell ref="E2091:F2091"/>
    <mergeCell ref="E2092:F2092"/>
    <mergeCell ref="E2093:F2093"/>
    <mergeCell ref="E2094:F2094"/>
    <mergeCell ref="E2095:F2095"/>
    <mergeCell ref="E2096:F2096"/>
    <mergeCell ref="E2048:F2048"/>
    <mergeCell ref="E2049:F2049"/>
    <mergeCell ref="E2050:F2050"/>
    <mergeCell ref="E2051:F2051"/>
    <mergeCell ref="E2052:F2052"/>
    <mergeCell ref="E2053:F2053"/>
    <mergeCell ref="E2054:F2054"/>
    <mergeCell ref="H2056:I2056"/>
    <mergeCell ref="E2059:F2059"/>
    <mergeCell ref="E2060:F2060"/>
    <mergeCell ref="E2061:F2061"/>
    <mergeCell ref="E2062:F2062"/>
    <mergeCell ref="E2063:F2063"/>
    <mergeCell ref="E2064:F2064"/>
    <mergeCell ref="E2065:F2065"/>
    <mergeCell ref="H2067:I2067"/>
    <mergeCell ref="F2070:G2070"/>
    <mergeCell ref="H2017:I2017"/>
    <mergeCell ref="E2020:F2020"/>
    <mergeCell ref="E2021:F2021"/>
    <mergeCell ref="E2022:F2022"/>
    <mergeCell ref="E2023:F2023"/>
    <mergeCell ref="H2025:I2025"/>
    <mergeCell ref="F2028:G2028"/>
    <mergeCell ref="E2029:F2029"/>
    <mergeCell ref="E2030:F2030"/>
    <mergeCell ref="H2032:I2032"/>
    <mergeCell ref="E2035:F2035"/>
    <mergeCell ref="E2036:F2036"/>
    <mergeCell ref="H2038:I2038"/>
    <mergeCell ref="E2041:F2041"/>
    <mergeCell ref="E2042:F2042"/>
    <mergeCell ref="H2044:I2044"/>
    <mergeCell ref="E2047:F2047"/>
    <mergeCell ref="E1990:F1990"/>
    <mergeCell ref="E1991:F1991"/>
    <mergeCell ref="E1992:F1992"/>
    <mergeCell ref="E1993:F1993"/>
    <mergeCell ref="H1995:I1995"/>
    <mergeCell ref="E1998:F1998"/>
    <mergeCell ref="E1999:F1999"/>
    <mergeCell ref="E2000:F2000"/>
    <mergeCell ref="H2002:I2002"/>
    <mergeCell ref="E2005:F2005"/>
    <mergeCell ref="E2006:F2006"/>
    <mergeCell ref="E2007:F2007"/>
    <mergeCell ref="E2008:F2008"/>
    <mergeCell ref="H2010:I2010"/>
    <mergeCell ref="E2013:F2013"/>
    <mergeCell ref="E2014:F2014"/>
    <mergeCell ref="E2015:F2015"/>
    <mergeCell ref="H1965:I1965"/>
    <mergeCell ref="E1968:F1968"/>
    <mergeCell ref="E1969:F1969"/>
    <mergeCell ref="E1970:F1970"/>
    <mergeCell ref="E1971:F1971"/>
    <mergeCell ref="H1973:I1973"/>
    <mergeCell ref="E1976:F1976"/>
    <mergeCell ref="E1977:F1977"/>
    <mergeCell ref="E1978:F1978"/>
    <mergeCell ref="E1979:F1979"/>
    <mergeCell ref="E1980:F1980"/>
    <mergeCell ref="E1981:F1981"/>
    <mergeCell ref="E1982:F1982"/>
    <mergeCell ref="E1983:F1983"/>
    <mergeCell ref="H1985:I1985"/>
    <mergeCell ref="E1988:F1988"/>
    <mergeCell ref="E1989:F1989"/>
    <mergeCell ref="E1941:F1941"/>
    <mergeCell ref="E1942:F1942"/>
    <mergeCell ref="E1943:F1943"/>
    <mergeCell ref="E1944:F1944"/>
    <mergeCell ref="E1945:F1945"/>
    <mergeCell ref="H1947:I1947"/>
    <mergeCell ref="F1950:G1950"/>
    <mergeCell ref="E1951:F1951"/>
    <mergeCell ref="E1952:F1952"/>
    <mergeCell ref="E1953:F1953"/>
    <mergeCell ref="H1955:I1955"/>
    <mergeCell ref="E1958:F1958"/>
    <mergeCell ref="E1959:F1959"/>
    <mergeCell ref="E1960:F1960"/>
    <mergeCell ref="E1961:F1961"/>
    <mergeCell ref="E1962:F1962"/>
    <mergeCell ref="E1963:F1963"/>
    <mergeCell ref="E1915:F1915"/>
    <mergeCell ref="E1916:F1916"/>
    <mergeCell ref="H1918:I1918"/>
    <mergeCell ref="E1921:F1921"/>
    <mergeCell ref="E1922:F1922"/>
    <mergeCell ref="E1923:F1923"/>
    <mergeCell ref="E1924:F1924"/>
    <mergeCell ref="H1926:I1926"/>
    <mergeCell ref="F1929:G1929"/>
    <mergeCell ref="F1930:G1930"/>
    <mergeCell ref="E1931:F1931"/>
    <mergeCell ref="E1932:F1932"/>
    <mergeCell ref="E1933:F1933"/>
    <mergeCell ref="E1934:F1934"/>
    <mergeCell ref="E1935:F1935"/>
    <mergeCell ref="H1937:I1937"/>
    <mergeCell ref="E1940:F1940"/>
    <mergeCell ref="E1892:F1892"/>
    <mergeCell ref="E1893:F1893"/>
    <mergeCell ref="E1894:F1894"/>
    <mergeCell ref="E1895:F1895"/>
    <mergeCell ref="E1896:F1896"/>
    <mergeCell ref="E1897:F1897"/>
    <mergeCell ref="H1899:I1899"/>
    <mergeCell ref="E1902:F1902"/>
    <mergeCell ref="E1903:F1903"/>
    <mergeCell ref="E1904:F1904"/>
    <mergeCell ref="E1905:F1905"/>
    <mergeCell ref="E1906:F1906"/>
    <mergeCell ref="E1907:F1907"/>
    <mergeCell ref="E1908:F1908"/>
    <mergeCell ref="H1910:I1910"/>
    <mergeCell ref="F1913:G1913"/>
    <mergeCell ref="E1914:F1914"/>
    <mergeCell ref="E1869:F1869"/>
    <mergeCell ref="E1870:F1870"/>
    <mergeCell ref="E1871:F1871"/>
    <mergeCell ref="E1872:F1872"/>
    <mergeCell ref="E1873:F1873"/>
    <mergeCell ref="E1874:F1874"/>
    <mergeCell ref="H1876:I1876"/>
    <mergeCell ref="E1879:F1879"/>
    <mergeCell ref="E1880:F1880"/>
    <mergeCell ref="E1881:F1881"/>
    <mergeCell ref="E1882:F1882"/>
    <mergeCell ref="E1883:F1883"/>
    <mergeCell ref="E1884:F1884"/>
    <mergeCell ref="E1885:F1885"/>
    <mergeCell ref="E1886:F1886"/>
    <mergeCell ref="H1888:I1888"/>
    <mergeCell ref="E1891:F1891"/>
    <mergeCell ref="E1846:F1846"/>
    <mergeCell ref="E1847:F1847"/>
    <mergeCell ref="E1848:F1848"/>
    <mergeCell ref="E1849:F1849"/>
    <mergeCell ref="E1850:F1850"/>
    <mergeCell ref="E1851:F1851"/>
    <mergeCell ref="H1853:I1853"/>
    <mergeCell ref="E1856:F1856"/>
    <mergeCell ref="E1857:F1857"/>
    <mergeCell ref="E1858:F1858"/>
    <mergeCell ref="E1859:F1859"/>
    <mergeCell ref="E1860:F1860"/>
    <mergeCell ref="E1861:F1861"/>
    <mergeCell ref="E1862:F1862"/>
    <mergeCell ref="H1864:I1864"/>
    <mergeCell ref="E1867:F1867"/>
    <mergeCell ref="E1868:F1868"/>
    <mergeCell ref="E1826:F1826"/>
    <mergeCell ref="E1827:F1827"/>
    <mergeCell ref="H1829:I1829"/>
    <mergeCell ref="E1832:F1832"/>
    <mergeCell ref="E1833:F1833"/>
    <mergeCell ref="E1834:F1834"/>
    <mergeCell ref="E1835:F1835"/>
    <mergeCell ref="E1836:F1836"/>
    <mergeCell ref="E1837:F1837"/>
    <mergeCell ref="E1838:F1838"/>
    <mergeCell ref="E1839:F1839"/>
    <mergeCell ref="E1840:F1840"/>
    <mergeCell ref="E1841:F1841"/>
    <mergeCell ref="E1842:F1842"/>
    <mergeCell ref="E1843:F1843"/>
    <mergeCell ref="E1844:F1844"/>
    <mergeCell ref="E1845:F1845"/>
    <mergeCell ref="E1803:F1803"/>
    <mergeCell ref="E1804:F1804"/>
    <mergeCell ref="H1806:I1806"/>
    <mergeCell ref="E1809:F1809"/>
    <mergeCell ref="E1810:F1810"/>
    <mergeCell ref="E1811:F1811"/>
    <mergeCell ref="E1812:F1812"/>
    <mergeCell ref="E1813:F1813"/>
    <mergeCell ref="E1814:F1814"/>
    <mergeCell ref="H1816:I1816"/>
    <mergeCell ref="E1819:F1819"/>
    <mergeCell ref="E1820:F1820"/>
    <mergeCell ref="E1821:F1821"/>
    <mergeCell ref="E1822:F1822"/>
    <mergeCell ref="E1823:F1823"/>
    <mergeCell ref="E1824:F1824"/>
    <mergeCell ref="E1825:F1825"/>
    <mergeCell ref="E1780:F1780"/>
    <mergeCell ref="H1782:I1782"/>
    <mergeCell ref="E1785:F1785"/>
    <mergeCell ref="E1786:F1786"/>
    <mergeCell ref="E1787:F1787"/>
    <mergeCell ref="E1788:F1788"/>
    <mergeCell ref="E1789:F1789"/>
    <mergeCell ref="E1790:F1790"/>
    <mergeCell ref="E1791:F1791"/>
    <mergeCell ref="E1792:F1792"/>
    <mergeCell ref="H1794:I1794"/>
    <mergeCell ref="E1797:F1797"/>
    <mergeCell ref="E1798:F1798"/>
    <mergeCell ref="E1799:F1799"/>
    <mergeCell ref="E1800:F1800"/>
    <mergeCell ref="E1801:F1801"/>
    <mergeCell ref="E1802:F1802"/>
    <mergeCell ref="E1757:F1757"/>
    <mergeCell ref="E1758:F1758"/>
    <mergeCell ref="E1759:F1759"/>
    <mergeCell ref="E1760:F1760"/>
    <mergeCell ref="E1761:F1761"/>
    <mergeCell ref="E1762:F1762"/>
    <mergeCell ref="H1764:I1764"/>
    <mergeCell ref="F1767:G1767"/>
    <mergeCell ref="E1768:F1768"/>
    <mergeCell ref="E1769:F1769"/>
    <mergeCell ref="E1770:F1770"/>
    <mergeCell ref="H1772:I1772"/>
    <mergeCell ref="E1775:F1775"/>
    <mergeCell ref="E1776:F1776"/>
    <mergeCell ref="E1777:F1777"/>
    <mergeCell ref="E1778:F1778"/>
    <mergeCell ref="E1779:F1779"/>
    <mergeCell ref="E1734:F1734"/>
    <mergeCell ref="E1735:F1735"/>
    <mergeCell ref="H1737:I1737"/>
    <mergeCell ref="F1740:G1740"/>
    <mergeCell ref="F1741:G1741"/>
    <mergeCell ref="E1742:F1742"/>
    <mergeCell ref="E1743:F1743"/>
    <mergeCell ref="E1744:F1744"/>
    <mergeCell ref="E1745:F1745"/>
    <mergeCell ref="E1746:F1746"/>
    <mergeCell ref="E1747:F1747"/>
    <mergeCell ref="E1748:F1748"/>
    <mergeCell ref="E1749:F1749"/>
    <mergeCell ref="E1750:F1750"/>
    <mergeCell ref="E1751:F1751"/>
    <mergeCell ref="E1752:F1752"/>
    <mergeCell ref="H1754:I1754"/>
    <mergeCell ref="E1711:F1711"/>
    <mergeCell ref="E1712:F1712"/>
    <mergeCell ref="E1713:F1713"/>
    <mergeCell ref="E1714:F1714"/>
    <mergeCell ref="E1715:F1715"/>
    <mergeCell ref="E1716:F1716"/>
    <mergeCell ref="E1717:F1717"/>
    <mergeCell ref="H1719:I1719"/>
    <mergeCell ref="E1722:F1722"/>
    <mergeCell ref="E1723:F1723"/>
    <mergeCell ref="E1724:F1724"/>
    <mergeCell ref="E1725:F1725"/>
    <mergeCell ref="E1726:F1726"/>
    <mergeCell ref="E1727:F1727"/>
    <mergeCell ref="E1728:F1728"/>
    <mergeCell ref="H1730:I1730"/>
    <mergeCell ref="E1733:F1733"/>
    <mergeCell ref="E1688:F1688"/>
    <mergeCell ref="E1689:F1689"/>
    <mergeCell ref="E1690:F1690"/>
    <mergeCell ref="E1691:F1691"/>
    <mergeCell ref="E1692:F1692"/>
    <mergeCell ref="E1693:F1693"/>
    <mergeCell ref="E1694:F1694"/>
    <mergeCell ref="H1696:I1696"/>
    <mergeCell ref="F1699:G1699"/>
    <mergeCell ref="E1700:F1700"/>
    <mergeCell ref="E1701:F1701"/>
    <mergeCell ref="E1702:F1702"/>
    <mergeCell ref="E1703:F1703"/>
    <mergeCell ref="E1704:F1704"/>
    <mergeCell ref="E1705:F1705"/>
    <mergeCell ref="E1706:F1706"/>
    <mergeCell ref="H1708:I1708"/>
    <mergeCell ref="E1665:F1665"/>
    <mergeCell ref="E1666:F1666"/>
    <mergeCell ref="E1667:F1667"/>
    <mergeCell ref="E1668:F1668"/>
    <mergeCell ref="E1669:F1669"/>
    <mergeCell ref="E1670:F1670"/>
    <mergeCell ref="E1671:F1671"/>
    <mergeCell ref="H1673:I1673"/>
    <mergeCell ref="E1676:F1676"/>
    <mergeCell ref="E1677:F1677"/>
    <mergeCell ref="E1678:F1678"/>
    <mergeCell ref="E1679:F1679"/>
    <mergeCell ref="E1680:F1680"/>
    <mergeCell ref="E1681:F1681"/>
    <mergeCell ref="E1682:F1682"/>
    <mergeCell ref="E1683:F1683"/>
    <mergeCell ref="H1685:I1685"/>
    <mergeCell ref="E1642:F1642"/>
    <mergeCell ref="E1643:F1643"/>
    <mergeCell ref="E1644:F1644"/>
    <mergeCell ref="E1645:F1645"/>
    <mergeCell ref="H1647:I1647"/>
    <mergeCell ref="E1650:F1650"/>
    <mergeCell ref="E1651:F1651"/>
    <mergeCell ref="E1652:F1652"/>
    <mergeCell ref="E1653:F1653"/>
    <mergeCell ref="E1654:F1654"/>
    <mergeCell ref="E1655:F1655"/>
    <mergeCell ref="E1656:F1656"/>
    <mergeCell ref="E1657:F1657"/>
    <mergeCell ref="E1658:F1658"/>
    <mergeCell ref="E1659:F1659"/>
    <mergeCell ref="H1661:I1661"/>
    <mergeCell ref="F1664:G1664"/>
    <mergeCell ref="E1616:F1616"/>
    <mergeCell ref="E1617:F1617"/>
    <mergeCell ref="H1619:I1619"/>
    <mergeCell ref="E1622:F1622"/>
    <mergeCell ref="E1623:F1623"/>
    <mergeCell ref="E1624:F1624"/>
    <mergeCell ref="H1626:I1626"/>
    <mergeCell ref="E1629:F1629"/>
    <mergeCell ref="E1630:F1630"/>
    <mergeCell ref="E1631:F1631"/>
    <mergeCell ref="H1633:I1633"/>
    <mergeCell ref="E1636:F1636"/>
    <mergeCell ref="E1637:F1637"/>
    <mergeCell ref="E1638:F1638"/>
    <mergeCell ref="E1639:F1639"/>
    <mergeCell ref="E1640:F1640"/>
    <mergeCell ref="E1641:F1641"/>
    <mergeCell ref="E1590:F1590"/>
    <mergeCell ref="E1591:F1591"/>
    <mergeCell ref="E1592:F1592"/>
    <mergeCell ref="H1594:I1594"/>
    <mergeCell ref="E1597:F1597"/>
    <mergeCell ref="E1598:F1598"/>
    <mergeCell ref="E1599:F1599"/>
    <mergeCell ref="E1600:F1600"/>
    <mergeCell ref="E1601:F1601"/>
    <mergeCell ref="E1602:F1602"/>
    <mergeCell ref="H1604:I1604"/>
    <mergeCell ref="E1607:F1607"/>
    <mergeCell ref="E1608:F1608"/>
    <mergeCell ref="E1609:F1609"/>
    <mergeCell ref="H1611:I1611"/>
    <mergeCell ref="E1614:F1614"/>
    <mergeCell ref="E1615:F1615"/>
    <mergeCell ref="E1567:F1567"/>
    <mergeCell ref="E1568:F1568"/>
    <mergeCell ref="E1569:F1569"/>
    <mergeCell ref="E1570:F1570"/>
    <mergeCell ref="E1571:F1571"/>
    <mergeCell ref="H1573:I1573"/>
    <mergeCell ref="F1576:G1576"/>
    <mergeCell ref="E1577:F1577"/>
    <mergeCell ref="E1578:F1578"/>
    <mergeCell ref="E1579:F1579"/>
    <mergeCell ref="E1580:F1580"/>
    <mergeCell ref="E1581:F1581"/>
    <mergeCell ref="E1582:F1582"/>
    <mergeCell ref="E1583:F1583"/>
    <mergeCell ref="E1584:F1584"/>
    <mergeCell ref="H1586:I1586"/>
    <mergeCell ref="E1589:F1589"/>
    <mergeCell ref="E1544:F1544"/>
    <mergeCell ref="E1545:F1545"/>
    <mergeCell ref="E1546:F1546"/>
    <mergeCell ref="E1547:F1547"/>
    <mergeCell ref="E1548:F1548"/>
    <mergeCell ref="E1549:F1549"/>
    <mergeCell ref="H1551:I1551"/>
    <mergeCell ref="E1554:F1554"/>
    <mergeCell ref="E1555:F1555"/>
    <mergeCell ref="E1556:F1556"/>
    <mergeCell ref="E1557:F1557"/>
    <mergeCell ref="E1558:F1558"/>
    <mergeCell ref="E1559:F1559"/>
    <mergeCell ref="E1560:F1560"/>
    <mergeCell ref="H1562:I1562"/>
    <mergeCell ref="E1565:F1565"/>
    <mergeCell ref="E1566:F1566"/>
    <mergeCell ref="E1518:F1518"/>
    <mergeCell ref="H1520:I1520"/>
    <mergeCell ref="F1523:G1523"/>
    <mergeCell ref="F1524:G1524"/>
    <mergeCell ref="E1525:F1525"/>
    <mergeCell ref="E1526:F1526"/>
    <mergeCell ref="E1527:F1527"/>
    <mergeCell ref="E1528:F1528"/>
    <mergeCell ref="E1529:F1529"/>
    <mergeCell ref="H1531:I1531"/>
    <mergeCell ref="E1534:F1534"/>
    <mergeCell ref="E1535:F1535"/>
    <mergeCell ref="E1536:F1536"/>
    <mergeCell ref="E1537:F1537"/>
    <mergeCell ref="E1538:F1538"/>
    <mergeCell ref="E1539:F1539"/>
    <mergeCell ref="H1541:I1541"/>
    <mergeCell ref="H1496:I1496"/>
    <mergeCell ref="E1499:F1499"/>
    <mergeCell ref="E1500:F1500"/>
    <mergeCell ref="E1501:F1501"/>
    <mergeCell ref="E1502:F1502"/>
    <mergeCell ref="E1503:F1503"/>
    <mergeCell ref="E1504:F1504"/>
    <mergeCell ref="E1505:F1505"/>
    <mergeCell ref="E1506:F1506"/>
    <mergeCell ref="H1508:I1508"/>
    <mergeCell ref="E1511:F1511"/>
    <mergeCell ref="E1512:F1512"/>
    <mergeCell ref="E1513:F1513"/>
    <mergeCell ref="E1514:F1514"/>
    <mergeCell ref="E1515:F1515"/>
    <mergeCell ref="E1516:F1516"/>
    <mergeCell ref="E1517:F1517"/>
    <mergeCell ref="H1473:I1473"/>
    <mergeCell ref="E1476:F1476"/>
    <mergeCell ref="E1477:F1477"/>
    <mergeCell ref="E1478:F1478"/>
    <mergeCell ref="E1479:F1479"/>
    <mergeCell ref="E1480:F1480"/>
    <mergeCell ref="E1481:F1481"/>
    <mergeCell ref="E1482:F1482"/>
    <mergeCell ref="H1484:I1484"/>
    <mergeCell ref="F1487:G1487"/>
    <mergeCell ref="E1488:F1488"/>
    <mergeCell ref="E1489:F1489"/>
    <mergeCell ref="E1490:F1490"/>
    <mergeCell ref="E1491:F1491"/>
    <mergeCell ref="E1492:F1492"/>
    <mergeCell ref="E1493:F1493"/>
    <mergeCell ref="E1494:F1494"/>
    <mergeCell ref="H1450:I1450"/>
    <mergeCell ref="E1453:F1453"/>
    <mergeCell ref="E1454:F1454"/>
    <mergeCell ref="E1455:F1455"/>
    <mergeCell ref="E1456:F1456"/>
    <mergeCell ref="E1457:F1457"/>
    <mergeCell ref="E1458:F1458"/>
    <mergeCell ref="E1459:F1459"/>
    <mergeCell ref="E1460:F1460"/>
    <mergeCell ref="H1462:I1462"/>
    <mergeCell ref="E1465:F1465"/>
    <mergeCell ref="E1466:F1466"/>
    <mergeCell ref="E1467:F1467"/>
    <mergeCell ref="E1468:F1468"/>
    <mergeCell ref="E1469:F1469"/>
    <mergeCell ref="E1470:F1470"/>
    <mergeCell ref="E1471:F1471"/>
    <mergeCell ref="F1429:G1429"/>
    <mergeCell ref="E1430:F1430"/>
    <mergeCell ref="E1431:F1431"/>
    <mergeCell ref="E1432:F1432"/>
    <mergeCell ref="E1433:F1433"/>
    <mergeCell ref="E1434:F1434"/>
    <mergeCell ref="E1435:F1435"/>
    <mergeCell ref="E1436:F1436"/>
    <mergeCell ref="H1438:I1438"/>
    <mergeCell ref="E1441:F1441"/>
    <mergeCell ref="E1442:F1442"/>
    <mergeCell ref="E1443:F1443"/>
    <mergeCell ref="E1444:F1444"/>
    <mergeCell ref="E1445:F1445"/>
    <mergeCell ref="E1446:F1446"/>
    <mergeCell ref="E1447:F1447"/>
    <mergeCell ref="E1448:F1448"/>
    <mergeCell ref="E1406:F1406"/>
    <mergeCell ref="E1407:F1407"/>
    <mergeCell ref="E1408:F1408"/>
    <mergeCell ref="E1409:F1409"/>
    <mergeCell ref="E1410:F1410"/>
    <mergeCell ref="E1411:F1411"/>
    <mergeCell ref="E1412:F1412"/>
    <mergeCell ref="H1414:I1414"/>
    <mergeCell ref="E1417:F1417"/>
    <mergeCell ref="E1418:F1418"/>
    <mergeCell ref="E1419:F1419"/>
    <mergeCell ref="E1420:F1420"/>
    <mergeCell ref="E1421:F1421"/>
    <mergeCell ref="E1422:F1422"/>
    <mergeCell ref="E1423:F1423"/>
    <mergeCell ref="E1424:F1424"/>
    <mergeCell ref="H1426:I1426"/>
    <mergeCell ref="E1380:F1380"/>
    <mergeCell ref="E1381:F1381"/>
    <mergeCell ref="E1382:F1382"/>
    <mergeCell ref="H1384:I1384"/>
    <mergeCell ref="E1387:F1387"/>
    <mergeCell ref="E1388:F1388"/>
    <mergeCell ref="E1389:F1389"/>
    <mergeCell ref="E1390:F1390"/>
    <mergeCell ref="E1391:F1391"/>
    <mergeCell ref="H1393:I1393"/>
    <mergeCell ref="E1396:F1396"/>
    <mergeCell ref="E1397:F1397"/>
    <mergeCell ref="E1398:F1398"/>
    <mergeCell ref="E1399:F1399"/>
    <mergeCell ref="E1400:F1400"/>
    <mergeCell ref="H1402:I1402"/>
    <mergeCell ref="F1405:G1405"/>
    <mergeCell ref="E1354:F1354"/>
    <mergeCell ref="E1355:F1355"/>
    <mergeCell ref="H1357:I1357"/>
    <mergeCell ref="E1360:F1360"/>
    <mergeCell ref="E1361:F1361"/>
    <mergeCell ref="E1362:F1362"/>
    <mergeCell ref="E1363:F1363"/>
    <mergeCell ref="E1364:F1364"/>
    <mergeCell ref="H1366:I1366"/>
    <mergeCell ref="E1369:F1369"/>
    <mergeCell ref="E1370:F1370"/>
    <mergeCell ref="E1371:F1371"/>
    <mergeCell ref="E1372:F1372"/>
    <mergeCell ref="E1373:F1373"/>
    <mergeCell ref="H1375:I1375"/>
    <mergeCell ref="E1378:F1378"/>
    <mergeCell ref="E1379:F1379"/>
    <mergeCell ref="H1329:I1329"/>
    <mergeCell ref="F1332:G1332"/>
    <mergeCell ref="E1333:F1333"/>
    <mergeCell ref="E1334:F1334"/>
    <mergeCell ref="E1335:F1335"/>
    <mergeCell ref="E1336:F1336"/>
    <mergeCell ref="E1337:F1337"/>
    <mergeCell ref="H1339:I1339"/>
    <mergeCell ref="E1342:F1342"/>
    <mergeCell ref="E1343:F1343"/>
    <mergeCell ref="E1344:F1344"/>
    <mergeCell ref="E1345:F1345"/>
    <mergeCell ref="E1346:F1346"/>
    <mergeCell ref="H1348:I1348"/>
    <mergeCell ref="E1351:F1351"/>
    <mergeCell ref="E1352:F1352"/>
    <mergeCell ref="E1353:F1353"/>
    <mergeCell ref="H1303:I1303"/>
    <mergeCell ref="E1306:F1306"/>
    <mergeCell ref="E1307:F1307"/>
    <mergeCell ref="E1308:F1308"/>
    <mergeCell ref="E1309:F1309"/>
    <mergeCell ref="H1311:I1311"/>
    <mergeCell ref="E1314:F1314"/>
    <mergeCell ref="E1315:F1315"/>
    <mergeCell ref="E1316:F1316"/>
    <mergeCell ref="E1317:F1317"/>
    <mergeCell ref="E1318:F1318"/>
    <mergeCell ref="H1320:I1320"/>
    <mergeCell ref="E1323:F1323"/>
    <mergeCell ref="E1324:F1324"/>
    <mergeCell ref="E1325:F1325"/>
    <mergeCell ref="E1326:F1326"/>
    <mergeCell ref="E1327:F1327"/>
    <mergeCell ref="E1279:F1279"/>
    <mergeCell ref="E1280:F1280"/>
    <mergeCell ref="E1281:F1281"/>
    <mergeCell ref="E1282:F1282"/>
    <mergeCell ref="H1284:I1284"/>
    <mergeCell ref="E1287:F1287"/>
    <mergeCell ref="E1288:F1288"/>
    <mergeCell ref="E1289:F1289"/>
    <mergeCell ref="E1290:F1290"/>
    <mergeCell ref="E1291:F1291"/>
    <mergeCell ref="H1293:I1293"/>
    <mergeCell ref="E1296:F1296"/>
    <mergeCell ref="E1297:F1297"/>
    <mergeCell ref="E1298:F1298"/>
    <mergeCell ref="E1299:F1299"/>
    <mergeCell ref="E1300:F1300"/>
    <mergeCell ref="E1301:F1301"/>
    <mergeCell ref="E1256:F1256"/>
    <mergeCell ref="E1257:F1257"/>
    <mergeCell ref="E1258:F1258"/>
    <mergeCell ref="E1259:F1259"/>
    <mergeCell ref="E1260:F1260"/>
    <mergeCell ref="E1261:F1261"/>
    <mergeCell ref="E1262:F1262"/>
    <mergeCell ref="H1264:I1264"/>
    <mergeCell ref="E1267:F1267"/>
    <mergeCell ref="E1268:F1268"/>
    <mergeCell ref="E1269:F1269"/>
    <mergeCell ref="E1270:F1270"/>
    <mergeCell ref="E1271:F1271"/>
    <mergeCell ref="E1272:F1272"/>
    <mergeCell ref="H1274:I1274"/>
    <mergeCell ref="F1277:G1277"/>
    <mergeCell ref="E1278:F1278"/>
    <mergeCell ref="E1230:F1230"/>
    <mergeCell ref="H1232:I1232"/>
    <mergeCell ref="E1235:F1235"/>
    <mergeCell ref="E1236:F1236"/>
    <mergeCell ref="E1237:F1237"/>
    <mergeCell ref="E1238:F1238"/>
    <mergeCell ref="E1239:F1239"/>
    <mergeCell ref="H1241:I1241"/>
    <mergeCell ref="F1244:G1244"/>
    <mergeCell ref="E1245:F1245"/>
    <mergeCell ref="E1246:F1246"/>
    <mergeCell ref="E1247:F1247"/>
    <mergeCell ref="E1248:F1248"/>
    <mergeCell ref="E1249:F1249"/>
    <mergeCell ref="E1250:F1250"/>
    <mergeCell ref="H1252:I1252"/>
    <mergeCell ref="E1255:F1255"/>
    <mergeCell ref="H1205:I1205"/>
    <mergeCell ref="E1208:F1208"/>
    <mergeCell ref="E1209:F1209"/>
    <mergeCell ref="E1210:F1210"/>
    <mergeCell ref="E1211:F1211"/>
    <mergeCell ref="E1212:F1212"/>
    <mergeCell ref="H1214:I1214"/>
    <mergeCell ref="E1217:F1217"/>
    <mergeCell ref="E1218:F1218"/>
    <mergeCell ref="E1219:F1219"/>
    <mergeCell ref="E1220:F1220"/>
    <mergeCell ref="E1221:F1221"/>
    <mergeCell ref="H1223:I1223"/>
    <mergeCell ref="E1226:F1226"/>
    <mergeCell ref="E1227:F1227"/>
    <mergeCell ref="E1228:F1228"/>
    <mergeCell ref="E1229:F1229"/>
    <mergeCell ref="E1181:F1181"/>
    <mergeCell ref="E1182:F1182"/>
    <mergeCell ref="E1183:F1183"/>
    <mergeCell ref="E1184:F1184"/>
    <mergeCell ref="H1186:I1186"/>
    <mergeCell ref="F1189:G1189"/>
    <mergeCell ref="E1190:F1190"/>
    <mergeCell ref="E1191:F1191"/>
    <mergeCell ref="E1192:F1192"/>
    <mergeCell ref="E1193:F1193"/>
    <mergeCell ref="E1194:F1194"/>
    <mergeCell ref="H1196:I1196"/>
    <mergeCell ref="E1199:F1199"/>
    <mergeCell ref="E1200:F1200"/>
    <mergeCell ref="E1201:F1201"/>
    <mergeCell ref="E1202:F1202"/>
    <mergeCell ref="E1203:F1203"/>
    <mergeCell ref="E1155:F1155"/>
    <mergeCell ref="E1156:F1156"/>
    <mergeCell ref="E1157:F1157"/>
    <mergeCell ref="H1159:I1159"/>
    <mergeCell ref="E1162:F1162"/>
    <mergeCell ref="E1163:F1163"/>
    <mergeCell ref="E1164:F1164"/>
    <mergeCell ref="E1165:F1165"/>
    <mergeCell ref="E1166:F1166"/>
    <mergeCell ref="H1168:I1168"/>
    <mergeCell ref="E1171:F1171"/>
    <mergeCell ref="E1172:F1172"/>
    <mergeCell ref="E1173:F1173"/>
    <mergeCell ref="E1174:F1174"/>
    <mergeCell ref="E1175:F1175"/>
    <mergeCell ref="H1177:I1177"/>
    <mergeCell ref="E1180:F1180"/>
    <mergeCell ref="E1129:F1129"/>
    <mergeCell ref="H1131:I1131"/>
    <mergeCell ref="E1134:F1134"/>
    <mergeCell ref="E1135:F1135"/>
    <mergeCell ref="E1136:F1136"/>
    <mergeCell ref="E1137:F1137"/>
    <mergeCell ref="E1138:F1138"/>
    <mergeCell ref="H1140:I1140"/>
    <mergeCell ref="F1143:G1143"/>
    <mergeCell ref="E1144:F1144"/>
    <mergeCell ref="E1145:F1145"/>
    <mergeCell ref="E1146:F1146"/>
    <mergeCell ref="E1147:F1147"/>
    <mergeCell ref="E1148:F1148"/>
    <mergeCell ref="H1150:I1150"/>
    <mergeCell ref="E1153:F1153"/>
    <mergeCell ref="E1154:F1154"/>
    <mergeCell ref="E1106:F1106"/>
    <mergeCell ref="E1107:F1107"/>
    <mergeCell ref="E1108:F1108"/>
    <mergeCell ref="E1109:F1109"/>
    <mergeCell ref="E1110:F1110"/>
    <mergeCell ref="H1112:I1112"/>
    <mergeCell ref="F1115:G1115"/>
    <mergeCell ref="E1116:F1116"/>
    <mergeCell ref="E1117:F1117"/>
    <mergeCell ref="E1118:F1118"/>
    <mergeCell ref="E1119:F1119"/>
    <mergeCell ref="E1120:F1120"/>
    <mergeCell ref="H1122:I1122"/>
    <mergeCell ref="E1125:F1125"/>
    <mergeCell ref="E1126:F1126"/>
    <mergeCell ref="E1127:F1127"/>
    <mergeCell ref="E1128:F1128"/>
    <mergeCell ref="E1080:F1080"/>
    <mergeCell ref="E1081:F1081"/>
    <mergeCell ref="E1082:F1082"/>
    <mergeCell ref="H1084:I1084"/>
    <mergeCell ref="F1087:G1087"/>
    <mergeCell ref="E1088:F1088"/>
    <mergeCell ref="E1089:F1089"/>
    <mergeCell ref="E1090:F1090"/>
    <mergeCell ref="E1091:F1091"/>
    <mergeCell ref="E1092:F1092"/>
    <mergeCell ref="H1094:I1094"/>
    <mergeCell ref="E1097:F1097"/>
    <mergeCell ref="E1098:F1098"/>
    <mergeCell ref="E1099:F1099"/>
    <mergeCell ref="E1100:F1100"/>
    <mergeCell ref="E1101:F1101"/>
    <mergeCell ref="H1103:I1103"/>
    <mergeCell ref="E1060:F1060"/>
    <mergeCell ref="E1061:F1061"/>
    <mergeCell ref="E1062:F1062"/>
    <mergeCell ref="E1063:F1063"/>
    <mergeCell ref="E1064:F1064"/>
    <mergeCell ref="E1065:F1065"/>
    <mergeCell ref="E1066:F1066"/>
    <mergeCell ref="E1067:F1067"/>
    <mergeCell ref="E1068:F1068"/>
    <mergeCell ref="E1069:F1069"/>
    <mergeCell ref="E1070:F1070"/>
    <mergeCell ref="E1071:F1071"/>
    <mergeCell ref="E1072:F1072"/>
    <mergeCell ref="E1073:F1073"/>
    <mergeCell ref="H1075:I1075"/>
    <mergeCell ref="E1078:F1078"/>
    <mergeCell ref="E1079:F1079"/>
    <mergeCell ref="E1040:F1040"/>
    <mergeCell ref="E1041:F1041"/>
    <mergeCell ref="E1042:F1042"/>
    <mergeCell ref="E1043:F1043"/>
    <mergeCell ref="E1044:F1044"/>
    <mergeCell ref="E1045:F1045"/>
    <mergeCell ref="H1047:I1047"/>
    <mergeCell ref="E1050:F1050"/>
    <mergeCell ref="E1051:F1051"/>
    <mergeCell ref="E1052:F1052"/>
    <mergeCell ref="E1053:F1053"/>
    <mergeCell ref="E1054:F1054"/>
    <mergeCell ref="E1055:F1055"/>
    <mergeCell ref="E1056:F1056"/>
    <mergeCell ref="E1057:F1057"/>
    <mergeCell ref="E1058:F1058"/>
    <mergeCell ref="E1059:F1059"/>
    <mergeCell ref="E1020:F1020"/>
    <mergeCell ref="E1021:F1021"/>
    <mergeCell ref="E1022:F1022"/>
    <mergeCell ref="E1023:F1023"/>
    <mergeCell ref="E1024:F1024"/>
    <mergeCell ref="E1025:F1025"/>
    <mergeCell ref="E1026:F1026"/>
    <mergeCell ref="E1027:F1027"/>
    <mergeCell ref="E1028:F1028"/>
    <mergeCell ref="E1029:F1029"/>
    <mergeCell ref="E1030:F1030"/>
    <mergeCell ref="E1031:F1031"/>
    <mergeCell ref="E1032:F1032"/>
    <mergeCell ref="E1033:F1033"/>
    <mergeCell ref="E1034:F1034"/>
    <mergeCell ref="H1036:I1036"/>
    <mergeCell ref="F1039:G1039"/>
    <mergeCell ref="F997:G997"/>
    <mergeCell ref="E998:F998"/>
    <mergeCell ref="E999:F999"/>
    <mergeCell ref="E1000:F1000"/>
    <mergeCell ref="E1001:F1001"/>
    <mergeCell ref="E1002:F1002"/>
    <mergeCell ref="H1004:I1004"/>
    <mergeCell ref="E1007:F1007"/>
    <mergeCell ref="E1008:F1008"/>
    <mergeCell ref="E1009:F1009"/>
    <mergeCell ref="E1010:F1010"/>
    <mergeCell ref="E1011:F1011"/>
    <mergeCell ref="H1013:I1013"/>
    <mergeCell ref="E1016:F1016"/>
    <mergeCell ref="E1017:F1017"/>
    <mergeCell ref="E1018:F1018"/>
    <mergeCell ref="E1019:F1019"/>
    <mergeCell ref="H972:I972"/>
    <mergeCell ref="E975:F975"/>
    <mergeCell ref="E976:F976"/>
    <mergeCell ref="E977:F977"/>
    <mergeCell ref="E978:F978"/>
    <mergeCell ref="E979:F979"/>
    <mergeCell ref="E980:F980"/>
    <mergeCell ref="H982:I982"/>
    <mergeCell ref="F985:G985"/>
    <mergeCell ref="E986:F986"/>
    <mergeCell ref="E987:F987"/>
    <mergeCell ref="E988:F988"/>
    <mergeCell ref="E989:F989"/>
    <mergeCell ref="E990:F990"/>
    <mergeCell ref="E991:F991"/>
    <mergeCell ref="H993:I993"/>
    <mergeCell ref="F996:G996"/>
    <mergeCell ref="E948:F948"/>
    <mergeCell ref="E949:F949"/>
    <mergeCell ref="E950:F950"/>
    <mergeCell ref="H952:I952"/>
    <mergeCell ref="E955:F955"/>
    <mergeCell ref="E956:F956"/>
    <mergeCell ref="E957:F957"/>
    <mergeCell ref="E958:F958"/>
    <mergeCell ref="E959:F959"/>
    <mergeCell ref="E960:F960"/>
    <mergeCell ref="H962:I962"/>
    <mergeCell ref="E965:F965"/>
    <mergeCell ref="E966:F966"/>
    <mergeCell ref="E967:F967"/>
    <mergeCell ref="E968:F968"/>
    <mergeCell ref="E969:F969"/>
    <mergeCell ref="E970:F970"/>
    <mergeCell ref="E922:F922"/>
    <mergeCell ref="E923:F923"/>
    <mergeCell ref="H925:I925"/>
    <mergeCell ref="E928:F928"/>
    <mergeCell ref="E929:F929"/>
    <mergeCell ref="E930:F930"/>
    <mergeCell ref="E931:F931"/>
    <mergeCell ref="H933:I933"/>
    <mergeCell ref="E936:F936"/>
    <mergeCell ref="E937:F937"/>
    <mergeCell ref="E938:F938"/>
    <mergeCell ref="E939:F939"/>
    <mergeCell ref="H941:I941"/>
    <mergeCell ref="E944:F944"/>
    <mergeCell ref="E945:F945"/>
    <mergeCell ref="E946:F946"/>
    <mergeCell ref="E947:F947"/>
    <mergeCell ref="E899:F899"/>
    <mergeCell ref="E900:F900"/>
    <mergeCell ref="E901:F901"/>
    <mergeCell ref="E902:F902"/>
    <mergeCell ref="H904:I904"/>
    <mergeCell ref="E907:F907"/>
    <mergeCell ref="E908:F908"/>
    <mergeCell ref="E909:F909"/>
    <mergeCell ref="E910:F910"/>
    <mergeCell ref="E911:F911"/>
    <mergeCell ref="E912:F912"/>
    <mergeCell ref="E913:F913"/>
    <mergeCell ref="E914:F914"/>
    <mergeCell ref="H916:I916"/>
    <mergeCell ref="E919:F919"/>
    <mergeCell ref="E920:F920"/>
    <mergeCell ref="E921:F921"/>
    <mergeCell ref="E876:F876"/>
    <mergeCell ref="E877:F877"/>
    <mergeCell ref="E878:F878"/>
    <mergeCell ref="E879:F879"/>
    <mergeCell ref="E880:F880"/>
    <mergeCell ref="E881:F881"/>
    <mergeCell ref="H883:I883"/>
    <mergeCell ref="E886:F886"/>
    <mergeCell ref="E887:F887"/>
    <mergeCell ref="E888:F888"/>
    <mergeCell ref="E889:F889"/>
    <mergeCell ref="E890:F890"/>
    <mergeCell ref="E891:F891"/>
    <mergeCell ref="E892:F892"/>
    <mergeCell ref="H894:I894"/>
    <mergeCell ref="E897:F897"/>
    <mergeCell ref="E898:F898"/>
    <mergeCell ref="E853:F853"/>
    <mergeCell ref="E854:F854"/>
    <mergeCell ref="H856:I856"/>
    <mergeCell ref="E859:F859"/>
    <mergeCell ref="E860:F860"/>
    <mergeCell ref="E861:F861"/>
    <mergeCell ref="E862:F862"/>
    <mergeCell ref="E863:F863"/>
    <mergeCell ref="E864:F864"/>
    <mergeCell ref="E865:F865"/>
    <mergeCell ref="E866:F866"/>
    <mergeCell ref="H868:I868"/>
    <mergeCell ref="F871:G871"/>
    <mergeCell ref="E872:F872"/>
    <mergeCell ref="E873:F873"/>
    <mergeCell ref="E874:F874"/>
    <mergeCell ref="E875:F875"/>
    <mergeCell ref="E830:F830"/>
    <mergeCell ref="E831:F831"/>
    <mergeCell ref="E832:F832"/>
    <mergeCell ref="H834:I834"/>
    <mergeCell ref="E837:F837"/>
    <mergeCell ref="E838:F838"/>
    <mergeCell ref="E839:F839"/>
    <mergeCell ref="E840:F840"/>
    <mergeCell ref="E841:F841"/>
    <mergeCell ref="E842:F842"/>
    <mergeCell ref="E843:F843"/>
    <mergeCell ref="H845:I845"/>
    <mergeCell ref="E848:F848"/>
    <mergeCell ref="E849:F849"/>
    <mergeCell ref="E850:F850"/>
    <mergeCell ref="E851:F851"/>
    <mergeCell ref="E852:F852"/>
    <mergeCell ref="H808:I808"/>
    <mergeCell ref="E811:F811"/>
    <mergeCell ref="E812:F812"/>
    <mergeCell ref="E813:F813"/>
    <mergeCell ref="E814:F814"/>
    <mergeCell ref="E815:F815"/>
    <mergeCell ref="E816:F816"/>
    <mergeCell ref="E817:F817"/>
    <mergeCell ref="E818:F818"/>
    <mergeCell ref="E819:F819"/>
    <mergeCell ref="E820:F820"/>
    <mergeCell ref="E821:F821"/>
    <mergeCell ref="E822:F822"/>
    <mergeCell ref="H824:I824"/>
    <mergeCell ref="E827:F827"/>
    <mergeCell ref="E828:F828"/>
    <mergeCell ref="E829:F829"/>
    <mergeCell ref="E784:F784"/>
    <mergeCell ref="E785:F785"/>
    <mergeCell ref="E786:F786"/>
    <mergeCell ref="E787:F787"/>
    <mergeCell ref="H789:I789"/>
    <mergeCell ref="E792:F792"/>
    <mergeCell ref="E793:F793"/>
    <mergeCell ref="E794:F794"/>
    <mergeCell ref="E795:F795"/>
    <mergeCell ref="E796:F796"/>
    <mergeCell ref="E797:F797"/>
    <mergeCell ref="H799:I799"/>
    <mergeCell ref="F802:G802"/>
    <mergeCell ref="E803:F803"/>
    <mergeCell ref="E804:F804"/>
    <mergeCell ref="E805:F805"/>
    <mergeCell ref="E806:F806"/>
    <mergeCell ref="E761:F761"/>
    <mergeCell ref="E762:F762"/>
    <mergeCell ref="H764:I764"/>
    <mergeCell ref="E767:F767"/>
    <mergeCell ref="E768:F768"/>
    <mergeCell ref="E769:F769"/>
    <mergeCell ref="E770:F770"/>
    <mergeCell ref="E771:F771"/>
    <mergeCell ref="E772:F772"/>
    <mergeCell ref="E773:F773"/>
    <mergeCell ref="E774:F774"/>
    <mergeCell ref="H776:I776"/>
    <mergeCell ref="F779:G779"/>
    <mergeCell ref="E780:F780"/>
    <mergeCell ref="E781:F781"/>
    <mergeCell ref="E782:F782"/>
    <mergeCell ref="E783:F783"/>
    <mergeCell ref="E738:F738"/>
    <mergeCell ref="E739:F739"/>
    <mergeCell ref="E740:F740"/>
    <mergeCell ref="H742:I742"/>
    <mergeCell ref="E745:F745"/>
    <mergeCell ref="E746:F746"/>
    <mergeCell ref="E747:F747"/>
    <mergeCell ref="E748:F748"/>
    <mergeCell ref="E749:F749"/>
    <mergeCell ref="E750:F750"/>
    <mergeCell ref="E751:F751"/>
    <mergeCell ref="E752:F752"/>
    <mergeCell ref="H754:I754"/>
    <mergeCell ref="E757:F757"/>
    <mergeCell ref="E758:F758"/>
    <mergeCell ref="E759:F759"/>
    <mergeCell ref="E760:F760"/>
    <mergeCell ref="E715:F715"/>
    <mergeCell ref="E716:F716"/>
    <mergeCell ref="E717:F717"/>
    <mergeCell ref="E718:F718"/>
    <mergeCell ref="E719:F719"/>
    <mergeCell ref="E720:F720"/>
    <mergeCell ref="E721:F721"/>
    <mergeCell ref="H723:I723"/>
    <mergeCell ref="E726:F726"/>
    <mergeCell ref="E727:F727"/>
    <mergeCell ref="E728:F728"/>
    <mergeCell ref="E729:F729"/>
    <mergeCell ref="E730:F730"/>
    <mergeCell ref="H732:I732"/>
    <mergeCell ref="E735:F735"/>
    <mergeCell ref="E736:F736"/>
    <mergeCell ref="E737:F737"/>
    <mergeCell ref="E692:F692"/>
    <mergeCell ref="E693:F693"/>
    <mergeCell ref="E694:F694"/>
    <mergeCell ref="E695:F695"/>
    <mergeCell ref="E696:F696"/>
    <mergeCell ref="E697:F697"/>
    <mergeCell ref="H699:I699"/>
    <mergeCell ref="E702:F702"/>
    <mergeCell ref="E703:F703"/>
    <mergeCell ref="E704:F704"/>
    <mergeCell ref="E705:F705"/>
    <mergeCell ref="E706:F706"/>
    <mergeCell ref="E707:F707"/>
    <mergeCell ref="E708:F708"/>
    <mergeCell ref="E709:F709"/>
    <mergeCell ref="H711:I711"/>
    <mergeCell ref="E714:F714"/>
    <mergeCell ref="E666:F666"/>
    <mergeCell ref="E667:F667"/>
    <mergeCell ref="H669:I669"/>
    <mergeCell ref="E672:F672"/>
    <mergeCell ref="E673:F673"/>
    <mergeCell ref="E674:F674"/>
    <mergeCell ref="E675:F675"/>
    <mergeCell ref="E676:F676"/>
    <mergeCell ref="E677:F677"/>
    <mergeCell ref="H679:I679"/>
    <mergeCell ref="E682:F682"/>
    <mergeCell ref="E683:F683"/>
    <mergeCell ref="E684:F684"/>
    <mergeCell ref="E685:F685"/>
    <mergeCell ref="E686:F686"/>
    <mergeCell ref="H688:I688"/>
    <mergeCell ref="F691:G691"/>
    <mergeCell ref="E643:F643"/>
    <mergeCell ref="E644:F644"/>
    <mergeCell ref="E645:F645"/>
    <mergeCell ref="E646:F646"/>
    <mergeCell ref="E647:F647"/>
    <mergeCell ref="H649:I649"/>
    <mergeCell ref="E652:F652"/>
    <mergeCell ref="E653:F653"/>
    <mergeCell ref="E654:F654"/>
    <mergeCell ref="E655:F655"/>
    <mergeCell ref="E656:F656"/>
    <mergeCell ref="E657:F657"/>
    <mergeCell ref="H659:I659"/>
    <mergeCell ref="E662:F662"/>
    <mergeCell ref="E663:F663"/>
    <mergeCell ref="E664:F664"/>
    <mergeCell ref="E665:F665"/>
    <mergeCell ref="E617:F617"/>
    <mergeCell ref="H619:I619"/>
    <mergeCell ref="E622:F622"/>
    <mergeCell ref="E623:F623"/>
    <mergeCell ref="E624:F624"/>
    <mergeCell ref="E625:F625"/>
    <mergeCell ref="E626:F626"/>
    <mergeCell ref="E627:F627"/>
    <mergeCell ref="E628:F628"/>
    <mergeCell ref="E629:F629"/>
    <mergeCell ref="H631:I631"/>
    <mergeCell ref="E634:F634"/>
    <mergeCell ref="E635:F635"/>
    <mergeCell ref="E636:F636"/>
    <mergeCell ref="E637:F637"/>
    <mergeCell ref="E638:F638"/>
    <mergeCell ref="H640:I640"/>
    <mergeCell ref="F597:G597"/>
    <mergeCell ref="E598:F598"/>
    <mergeCell ref="E599:F599"/>
    <mergeCell ref="E600:F600"/>
    <mergeCell ref="E601:F601"/>
    <mergeCell ref="E602:F602"/>
    <mergeCell ref="E603:F603"/>
    <mergeCell ref="E604:F604"/>
    <mergeCell ref="E605:F605"/>
    <mergeCell ref="H607:I607"/>
    <mergeCell ref="E610:F610"/>
    <mergeCell ref="E611:F611"/>
    <mergeCell ref="E612:F612"/>
    <mergeCell ref="E613:F613"/>
    <mergeCell ref="E614:F614"/>
    <mergeCell ref="E615:F615"/>
    <mergeCell ref="E616:F616"/>
    <mergeCell ref="H572:I572"/>
    <mergeCell ref="E575:F575"/>
    <mergeCell ref="E576:F576"/>
    <mergeCell ref="E577:F577"/>
    <mergeCell ref="E578:F578"/>
    <mergeCell ref="E579:F579"/>
    <mergeCell ref="E580:F580"/>
    <mergeCell ref="E581:F581"/>
    <mergeCell ref="E582:F582"/>
    <mergeCell ref="E583:F583"/>
    <mergeCell ref="E584:F584"/>
    <mergeCell ref="H586:I586"/>
    <mergeCell ref="E589:F589"/>
    <mergeCell ref="E590:F590"/>
    <mergeCell ref="E591:F591"/>
    <mergeCell ref="H593:I593"/>
    <mergeCell ref="F596:G596"/>
    <mergeCell ref="E551:F551"/>
    <mergeCell ref="E552:F552"/>
    <mergeCell ref="E553:F553"/>
    <mergeCell ref="E554:F554"/>
    <mergeCell ref="E555:F555"/>
    <mergeCell ref="E556:F556"/>
    <mergeCell ref="E557:F557"/>
    <mergeCell ref="E558:F558"/>
    <mergeCell ref="H560:I560"/>
    <mergeCell ref="E563:F563"/>
    <mergeCell ref="E564:F564"/>
    <mergeCell ref="E565:F565"/>
    <mergeCell ref="E566:F566"/>
    <mergeCell ref="E567:F567"/>
    <mergeCell ref="E568:F568"/>
    <mergeCell ref="E569:F569"/>
    <mergeCell ref="E570:F570"/>
    <mergeCell ref="E525:F525"/>
    <mergeCell ref="E526:F526"/>
    <mergeCell ref="E527:F527"/>
    <mergeCell ref="H529:I529"/>
    <mergeCell ref="F532:G532"/>
    <mergeCell ref="E533:F533"/>
    <mergeCell ref="E534:F534"/>
    <mergeCell ref="E535:F535"/>
    <mergeCell ref="H537:I537"/>
    <mergeCell ref="E540:F540"/>
    <mergeCell ref="E541:F541"/>
    <mergeCell ref="E542:F542"/>
    <mergeCell ref="E543:F543"/>
    <mergeCell ref="E544:F544"/>
    <mergeCell ref="E545:F545"/>
    <mergeCell ref="E546:F546"/>
    <mergeCell ref="H548:I548"/>
    <mergeCell ref="E499:F499"/>
    <mergeCell ref="E500:F500"/>
    <mergeCell ref="H502:I502"/>
    <mergeCell ref="E505:F505"/>
    <mergeCell ref="E506:F506"/>
    <mergeCell ref="E507:F507"/>
    <mergeCell ref="E508:F508"/>
    <mergeCell ref="E509:F509"/>
    <mergeCell ref="H511:I511"/>
    <mergeCell ref="E514:F514"/>
    <mergeCell ref="E515:F515"/>
    <mergeCell ref="E516:F516"/>
    <mergeCell ref="H518:I518"/>
    <mergeCell ref="E521:F521"/>
    <mergeCell ref="E522:F522"/>
    <mergeCell ref="E523:F523"/>
    <mergeCell ref="E524:F524"/>
    <mergeCell ref="E476:F476"/>
    <mergeCell ref="E477:F477"/>
    <mergeCell ref="E478:F478"/>
    <mergeCell ref="E479:F479"/>
    <mergeCell ref="E480:F480"/>
    <mergeCell ref="E481:F481"/>
    <mergeCell ref="H483:I483"/>
    <mergeCell ref="E486:F486"/>
    <mergeCell ref="E487:F487"/>
    <mergeCell ref="E488:F488"/>
    <mergeCell ref="E489:F489"/>
    <mergeCell ref="E490:F490"/>
    <mergeCell ref="E491:F491"/>
    <mergeCell ref="E492:F492"/>
    <mergeCell ref="E493:F493"/>
    <mergeCell ref="H495:I495"/>
    <mergeCell ref="E498:F498"/>
    <mergeCell ref="E453:F453"/>
    <mergeCell ref="E454:F454"/>
    <mergeCell ref="E455:F455"/>
    <mergeCell ref="E456:F456"/>
    <mergeCell ref="E457:F457"/>
    <mergeCell ref="E458:F458"/>
    <mergeCell ref="H460:I460"/>
    <mergeCell ref="E463:F463"/>
    <mergeCell ref="E464:F464"/>
    <mergeCell ref="E465:F465"/>
    <mergeCell ref="E466:F466"/>
    <mergeCell ref="E467:F467"/>
    <mergeCell ref="E468:F468"/>
    <mergeCell ref="E469:F469"/>
    <mergeCell ref="H471:I471"/>
    <mergeCell ref="E474:F474"/>
    <mergeCell ref="E475:F475"/>
    <mergeCell ref="E430:F430"/>
    <mergeCell ref="E431:F431"/>
    <mergeCell ref="E432:F432"/>
    <mergeCell ref="E433:F433"/>
    <mergeCell ref="E434:F434"/>
    <mergeCell ref="E435:F435"/>
    <mergeCell ref="E436:F436"/>
    <mergeCell ref="H438:I438"/>
    <mergeCell ref="F441:G441"/>
    <mergeCell ref="E442:F442"/>
    <mergeCell ref="E443:F443"/>
    <mergeCell ref="E444:F444"/>
    <mergeCell ref="E445:F445"/>
    <mergeCell ref="E446:F446"/>
    <mergeCell ref="E447:F447"/>
    <mergeCell ref="E448:F448"/>
    <mergeCell ref="H450:I450"/>
    <mergeCell ref="E407:F407"/>
    <mergeCell ref="E408:F408"/>
    <mergeCell ref="E409:F409"/>
    <mergeCell ref="E410:F410"/>
    <mergeCell ref="E411:F411"/>
    <mergeCell ref="E412:F412"/>
    <mergeCell ref="E413:F413"/>
    <mergeCell ref="H415:I415"/>
    <mergeCell ref="E418:F418"/>
    <mergeCell ref="E419:F419"/>
    <mergeCell ref="E420:F420"/>
    <mergeCell ref="E421:F421"/>
    <mergeCell ref="E422:F422"/>
    <mergeCell ref="E423:F423"/>
    <mergeCell ref="H425:I425"/>
    <mergeCell ref="E428:F428"/>
    <mergeCell ref="E429:F429"/>
    <mergeCell ref="H385:I385"/>
    <mergeCell ref="E388:F388"/>
    <mergeCell ref="E389:F389"/>
    <mergeCell ref="E390:F390"/>
    <mergeCell ref="E391:F391"/>
    <mergeCell ref="E392:F392"/>
    <mergeCell ref="E393:F393"/>
    <mergeCell ref="E394:F394"/>
    <mergeCell ref="E395:F395"/>
    <mergeCell ref="E396:F396"/>
    <mergeCell ref="E397:F397"/>
    <mergeCell ref="E398:F398"/>
    <mergeCell ref="E399:F399"/>
    <mergeCell ref="H401:I401"/>
    <mergeCell ref="F404:G404"/>
    <mergeCell ref="F405:G405"/>
    <mergeCell ref="E406:F406"/>
    <mergeCell ref="E358:F358"/>
    <mergeCell ref="H360:I360"/>
    <mergeCell ref="E363:F363"/>
    <mergeCell ref="E364:F364"/>
    <mergeCell ref="E365:F365"/>
    <mergeCell ref="E366:F366"/>
    <mergeCell ref="E367:F367"/>
    <mergeCell ref="E368:F368"/>
    <mergeCell ref="H370:I370"/>
    <mergeCell ref="E373:F373"/>
    <mergeCell ref="E374:F374"/>
    <mergeCell ref="E375:F375"/>
    <mergeCell ref="H377:I377"/>
    <mergeCell ref="E380:F380"/>
    <mergeCell ref="E381:F381"/>
    <mergeCell ref="E382:F382"/>
    <mergeCell ref="E383:F383"/>
    <mergeCell ref="E335:F335"/>
    <mergeCell ref="E336:F336"/>
    <mergeCell ref="H338:I338"/>
    <mergeCell ref="E341:F341"/>
    <mergeCell ref="E342:F342"/>
    <mergeCell ref="E343:F343"/>
    <mergeCell ref="E344:F344"/>
    <mergeCell ref="H346:I346"/>
    <mergeCell ref="F349:G349"/>
    <mergeCell ref="E350:F350"/>
    <mergeCell ref="E351:F351"/>
    <mergeCell ref="E352:F352"/>
    <mergeCell ref="E353:F353"/>
    <mergeCell ref="E354:F354"/>
    <mergeCell ref="E355:F355"/>
    <mergeCell ref="E356:F356"/>
    <mergeCell ref="E357:F357"/>
    <mergeCell ref="E309:F309"/>
    <mergeCell ref="E310:F310"/>
    <mergeCell ref="E311:F311"/>
    <mergeCell ref="H313:I313"/>
    <mergeCell ref="E316:F316"/>
    <mergeCell ref="E317:F317"/>
    <mergeCell ref="E318:F318"/>
    <mergeCell ref="E319:F319"/>
    <mergeCell ref="H321:I321"/>
    <mergeCell ref="E324:F324"/>
    <mergeCell ref="E325:F325"/>
    <mergeCell ref="E326:F326"/>
    <mergeCell ref="E327:F327"/>
    <mergeCell ref="E328:F328"/>
    <mergeCell ref="E329:F329"/>
    <mergeCell ref="H331:I331"/>
    <mergeCell ref="E334:F334"/>
    <mergeCell ref="E283:F283"/>
    <mergeCell ref="E284:F284"/>
    <mergeCell ref="E285:F285"/>
    <mergeCell ref="E286:F286"/>
    <mergeCell ref="H288:I288"/>
    <mergeCell ref="E291:F291"/>
    <mergeCell ref="E292:F292"/>
    <mergeCell ref="E293:F293"/>
    <mergeCell ref="E294:F294"/>
    <mergeCell ref="H296:I296"/>
    <mergeCell ref="E299:F299"/>
    <mergeCell ref="E300:F300"/>
    <mergeCell ref="E301:F301"/>
    <mergeCell ref="E302:F302"/>
    <mergeCell ref="E303:F303"/>
    <mergeCell ref="E304:F304"/>
    <mergeCell ref="H306:I306"/>
    <mergeCell ref="H258:I258"/>
    <mergeCell ref="F261:G261"/>
    <mergeCell ref="E262:F262"/>
    <mergeCell ref="E263:F263"/>
    <mergeCell ref="E264:F264"/>
    <mergeCell ref="H266:I266"/>
    <mergeCell ref="E269:F269"/>
    <mergeCell ref="E270:F270"/>
    <mergeCell ref="E271:F271"/>
    <mergeCell ref="E272:F272"/>
    <mergeCell ref="E273:F273"/>
    <mergeCell ref="E274:F274"/>
    <mergeCell ref="H276:I276"/>
    <mergeCell ref="E279:F279"/>
    <mergeCell ref="E280:F280"/>
    <mergeCell ref="E281:F281"/>
    <mergeCell ref="E282:F282"/>
    <mergeCell ref="E231:F231"/>
    <mergeCell ref="H233:I233"/>
    <mergeCell ref="E236:F236"/>
    <mergeCell ref="E237:F237"/>
    <mergeCell ref="E238:F238"/>
    <mergeCell ref="E239:F239"/>
    <mergeCell ref="E240:F240"/>
    <mergeCell ref="E241:F241"/>
    <mergeCell ref="H243:I243"/>
    <mergeCell ref="E246:F246"/>
    <mergeCell ref="E247:F247"/>
    <mergeCell ref="E248:F248"/>
    <mergeCell ref="H250:I250"/>
    <mergeCell ref="E253:F253"/>
    <mergeCell ref="E254:F254"/>
    <mergeCell ref="E255:F255"/>
    <mergeCell ref="E256:F256"/>
    <mergeCell ref="H209:I209"/>
    <mergeCell ref="E212:F212"/>
    <mergeCell ref="E213:F213"/>
    <mergeCell ref="E214:F214"/>
    <mergeCell ref="H216:I216"/>
    <mergeCell ref="F219:G219"/>
    <mergeCell ref="F220:G220"/>
    <mergeCell ref="E221:F221"/>
    <mergeCell ref="E222:F222"/>
    <mergeCell ref="E223:F223"/>
    <mergeCell ref="E224:F224"/>
    <mergeCell ref="E225:F225"/>
    <mergeCell ref="E226:F226"/>
    <mergeCell ref="E227:F227"/>
    <mergeCell ref="E228:F228"/>
    <mergeCell ref="E229:F229"/>
    <mergeCell ref="E230:F230"/>
    <mergeCell ref="E185:F185"/>
    <mergeCell ref="E186:F186"/>
    <mergeCell ref="E187:F187"/>
    <mergeCell ref="E188:F188"/>
    <mergeCell ref="H190:I190"/>
    <mergeCell ref="E193:F193"/>
    <mergeCell ref="E194:F194"/>
    <mergeCell ref="E195:F195"/>
    <mergeCell ref="E196:F196"/>
    <mergeCell ref="E197:F197"/>
    <mergeCell ref="E198:F198"/>
    <mergeCell ref="E199:F199"/>
    <mergeCell ref="E200:F200"/>
    <mergeCell ref="H202:I202"/>
    <mergeCell ref="E205:F205"/>
    <mergeCell ref="E206:F206"/>
    <mergeCell ref="E207:F207"/>
    <mergeCell ref="E162:F162"/>
    <mergeCell ref="E163:F163"/>
    <mergeCell ref="E164:F164"/>
    <mergeCell ref="E165:F165"/>
    <mergeCell ref="E166:F166"/>
    <mergeCell ref="E167:F167"/>
    <mergeCell ref="H169:I169"/>
    <mergeCell ref="E172:F172"/>
    <mergeCell ref="E173:F173"/>
    <mergeCell ref="E174:F174"/>
    <mergeCell ref="E175:F175"/>
    <mergeCell ref="E176:F176"/>
    <mergeCell ref="E177:F177"/>
    <mergeCell ref="H179:I179"/>
    <mergeCell ref="E182:F182"/>
    <mergeCell ref="E183:F183"/>
    <mergeCell ref="E184:F184"/>
    <mergeCell ref="E136:F136"/>
    <mergeCell ref="E137:F137"/>
    <mergeCell ref="H139:I139"/>
    <mergeCell ref="E142:F142"/>
    <mergeCell ref="E143:F143"/>
    <mergeCell ref="E144:F144"/>
    <mergeCell ref="E145:F145"/>
    <mergeCell ref="E146:F146"/>
    <mergeCell ref="E147:F147"/>
    <mergeCell ref="E148:F148"/>
    <mergeCell ref="H150:I150"/>
    <mergeCell ref="E153:F153"/>
    <mergeCell ref="E154:F154"/>
    <mergeCell ref="E155:F155"/>
    <mergeCell ref="E156:F156"/>
    <mergeCell ref="H158:I158"/>
    <mergeCell ref="F161:G161"/>
    <mergeCell ref="H108:I108"/>
    <mergeCell ref="E111:F111"/>
    <mergeCell ref="E112:F112"/>
    <mergeCell ref="E113:F113"/>
    <mergeCell ref="E114:F114"/>
    <mergeCell ref="E115:F115"/>
    <mergeCell ref="H117:I117"/>
    <mergeCell ref="E120:F120"/>
    <mergeCell ref="E121:F121"/>
    <mergeCell ref="E122:F122"/>
    <mergeCell ref="H124:I124"/>
    <mergeCell ref="E127:F127"/>
    <mergeCell ref="E128:F128"/>
    <mergeCell ref="E129:F129"/>
    <mergeCell ref="E130:F130"/>
    <mergeCell ref="H132:I132"/>
    <mergeCell ref="E135:F135"/>
    <mergeCell ref="E81:F81"/>
    <mergeCell ref="E82:F82"/>
    <mergeCell ref="H84:I84"/>
    <mergeCell ref="E87:F87"/>
    <mergeCell ref="E88:F88"/>
    <mergeCell ref="E89:F89"/>
    <mergeCell ref="H91:I91"/>
    <mergeCell ref="E94:F94"/>
    <mergeCell ref="E95:F95"/>
    <mergeCell ref="E96:F96"/>
    <mergeCell ref="E97:F97"/>
    <mergeCell ref="H99:I99"/>
    <mergeCell ref="E102:F102"/>
    <mergeCell ref="E103:F103"/>
    <mergeCell ref="E104:F104"/>
    <mergeCell ref="E105:F105"/>
    <mergeCell ref="E106:F106"/>
    <mergeCell ref="E55:F55"/>
    <mergeCell ref="E56:F56"/>
    <mergeCell ref="E57:F57"/>
    <mergeCell ref="E58:F58"/>
    <mergeCell ref="E59:F59"/>
    <mergeCell ref="H61:I61"/>
    <mergeCell ref="F64:G64"/>
    <mergeCell ref="E65:F65"/>
    <mergeCell ref="E66:F66"/>
    <mergeCell ref="E67:F67"/>
    <mergeCell ref="H69:I69"/>
    <mergeCell ref="E72:F72"/>
    <mergeCell ref="E73:F73"/>
    <mergeCell ref="E74:F74"/>
    <mergeCell ref="H76:I76"/>
    <mergeCell ref="E79:F79"/>
    <mergeCell ref="E80:F80"/>
    <mergeCell ref="E32:F32"/>
    <mergeCell ref="E33:F33"/>
    <mergeCell ref="E34:F34"/>
    <mergeCell ref="E35:F35"/>
    <mergeCell ref="H37:I37"/>
    <mergeCell ref="E40:F40"/>
    <mergeCell ref="E41:F41"/>
    <mergeCell ref="E42:F42"/>
    <mergeCell ref="E43:F43"/>
    <mergeCell ref="E44:F44"/>
    <mergeCell ref="E45:F45"/>
    <mergeCell ref="E46:F46"/>
    <mergeCell ref="E47:F47"/>
    <mergeCell ref="H49:I49"/>
    <mergeCell ref="F52:G52"/>
    <mergeCell ref="E53:F53"/>
    <mergeCell ref="E54:F54"/>
    <mergeCell ref="A2175:J2175"/>
    <mergeCell ref="C1:D1"/>
    <mergeCell ref="E1:F1"/>
    <mergeCell ref="G1:H1"/>
    <mergeCell ref="I1:J1"/>
    <mergeCell ref="C2:D2"/>
    <mergeCell ref="E2:F2"/>
    <mergeCell ref="G2:H2"/>
    <mergeCell ref="I2:J2"/>
    <mergeCell ref="F5:G5"/>
    <mergeCell ref="A3:J3"/>
    <mergeCell ref="F4:G4"/>
    <mergeCell ref="E6:F6"/>
    <mergeCell ref="E7:F7"/>
    <mergeCell ref="E8:F8"/>
    <mergeCell ref="E9:F9"/>
    <mergeCell ref="E10:F10"/>
    <mergeCell ref="E11:F11"/>
    <mergeCell ref="E12:F12"/>
    <mergeCell ref="E13:F13"/>
    <mergeCell ref="E14:F14"/>
    <mergeCell ref="E15:F15"/>
    <mergeCell ref="H17:I17"/>
    <mergeCell ref="E20:F20"/>
    <mergeCell ref="E21:F21"/>
    <mergeCell ref="E22:F22"/>
    <mergeCell ref="E23:F23"/>
    <mergeCell ref="E24:F24"/>
    <mergeCell ref="E25:F25"/>
    <mergeCell ref="H27:I27"/>
    <mergeCell ref="E30:F30"/>
    <mergeCell ref="E31:F31"/>
  </mergeCells>
  <pageMargins left="0.51181102362204722" right="0.51181102362204722" top="0.98425196850393704" bottom="0.98425196850393704" header="0.51181102362204722" footer="0.51181102362204722"/>
  <pageSetup paperSize="9" scale="40" fitToHeight="0" orientation="landscape" r:id="rId1"/>
  <headerFooter>
    <oddHeader xml:space="preserve">&amp;L </oddHeader>
    <oddFooter>&amp;L &amp;C&amp;A&amp;R&amp;P de&amp;N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7"/>
  <sheetViews>
    <sheetView view="pageBreakPreview" zoomScale="110" zoomScaleNormal="100" zoomScaleSheetLayoutView="110" workbookViewId="0">
      <selection activeCell="K15" sqref="K15"/>
    </sheetView>
  </sheetViews>
  <sheetFormatPr defaultColWidth="9" defaultRowHeight="14.25" x14ac:dyDescent="0.2"/>
  <cols>
    <col min="1" max="1" width="6.375" bestFit="1" customWidth="1"/>
    <col min="2" max="2" width="44.875" bestFit="1" customWidth="1"/>
    <col min="3" max="3" width="20" bestFit="1" customWidth="1"/>
    <col min="4" max="4" width="12" bestFit="1" customWidth="1"/>
    <col min="5" max="5" width="14.25" customWidth="1"/>
    <col min="6" max="6" width="13.5" bestFit="1" customWidth="1"/>
    <col min="7" max="22" width="12" bestFit="1" customWidth="1"/>
  </cols>
  <sheetData>
    <row r="1" spans="1:10" ht="15" x14ac:dyDescent="0.2">
      <c r="A1" s="130" t="str">
        <f>'Orçamento Sintético'!A2</f>
        <v>CLIENTE: UNIVERSIDADE FRANCO MONTORO</v>
      </c>
      <c r="B1" s="130"/>
      <c r="C1" s="40"/>
      <c r="D1" s="119" t="s">
        <v>698</v>
      </c>
      <c r="E1" s="119"/>
      <c r="F1" s="40"/>
      <c r="G1" s="14"/>
    </row>
    <row r="2" spans="1:10" ht="75.75" customHeight="1" x14ac:dyDescent="0.2">
      <c r="A2" s="130" t="str">
        <f>'Orçamento Sintético'!A3</f>
        <v>OBRA: PORTARIA DA UNIVERSIDADE FRANCO MONTORO</v>
      </c>
      <c r="B2" s="130"/>
      <c r="C2" s="14"/>
      <c r="D2" s="121">
        <f>[6]BDI!N27</f>
        <v>0.28820000000000001</v>
      </c>
      <c r="E2" s="120"/>
      <c r="F2" s="14"/>
      <c r="G2" s="14"/>
    </row>
    <row r="3" spans="1:10" ht="15" x14ac:dyDescent="0.25">
      <c r="A3" s="123" t="s">
        <v>702</v>
      </c>
      <c r="B3" s="118"/>
      <c r="C3" s="118"/>
      <c r="D3" s="118"/>
      <c r="E3" s="118"/>
      <c r="F3" s="118"/>
    </row>
    <row r="4" spans="1:10" ht="15" x14ac:dyDescent="0.2">
      <c r="A4" s="8" t="s">
        <v>1</v>
      </c>
      <c r="B4" s="8" t="s">
        <v>2</v>
      </c>
      <c r="C4" s="9" t="s">
        <v>703</v>
      </c>
      <c r="D4" s="17" t="s">
        <v>1444</v>
      </c>
      <c r="E4" s="17" t="s">
        <v>704</v>
      </c>
      <c r="F4" s="17" t="s">
        <v>1445</v>
      </c>
      <c r="G4" s="17" t="s">
        <v>705</v>
      </c>
      <c r="H4" s="17" t="s">
        <v>1446</v>
      </c>
      <c r="I4" s="17" t="s">
        <v>706</v>
      </c>
      <c r="J4" s="17" t="s">
        <v>1447</v>
      </c>
    </row>
    <row r="5" spans="1:10" ht="59.1" customHeight="1" thickBot="1" x14ac:dyDescent="0.25">
      <c r="A5" s="18" t="s">
        <v>24</v>
      </c>
      <c r="B5" s="18" t="s">
        <v>25</v>
      </c>
      <c r="C5" s="39" t="s">
        <v>1448</v>
      </c>
      <c r="D5" s="107" t="s">
        <v>1448</v>
      </c>
      <c r="E5" s="39" t="s">
        <v>760</v>
      </c>
      <c r="F5" s="39" t="s">
        <v>760</v>
      </c>
      <c r="G5" s="39" t="s">
        <v>760</v>
      </c>
      <c r="H5" s="39" t="s">
        <v>760</v>
      </c>
      <c r="I5" s="39" t="s">
        <v>760</v>
      </c>
      <c r="J5" s="39" t="s">
        <v>760</v>
      </c>
    </row>
    <row r="6" spans="1:10" ht="27" thickTop="1" thickBot="1" x14ac:dyDescent="0.25">
      <c r="A6" s="18" t="s">
        <v>85</v>
      </c>
      <c r="B6" s="18" t="s">
        <v>86</v>
      </c>
      <c r="C6" s="39" t="s">
        <v>1449</v>
      </c>
      <c r="D6" s="107" t="s">
        <v>1449</v>
      </c>
      <c r="E6" s="39" t="s">
        <v>760</v>
      </c>
      <c r="F6" s="39" t="s">
        <v>760</v>
      </c>
      <c r="G6" s="39" t="s">
        <v>760</v>
      </c>
      <c r="H6" s="39" t="s">
        <v>760</v>
      </c>
      <c r="I6" s="39" t="s">
        <v>760</v>
      </c>
      <c r="J6" s="39" t="s">
        <v>760</v>
      </c>
    </row>
    <row r="7" spans="1:10" ht="27" thickTop="1" thickBot="1" x14ac:dyDescent="0.25">
      <c r="A7" s="18" t="s">
        <v>105</v>
      </c>
      <c r="B7" s="18" t="s">
        <v>106</v>
      </c>
      <c r="C7" s="39" t="s">
        <v>1450</v>
      </c>
      <c r="D7" s="107" t="s">
        <v>1451</v>
      </c>
      <c r="E7" s="107" t="s">
        <v>1452</v>
      </c>
      <c r="F7" s="39" t="s">
        <v>760</v>
      </c>
      <c r="G7" s="39" t="s">
        <v>760</v>
      </c>
      <c r="H7" s="39" t="s">
        <v>760</v>
      </c>
      <c r="I7" s="39" t="s">
        <v>760</v>
      </c>
      <c r="J7" s="39" t="s">
        <v>760</v>
      </c>
    </row>
    <row r="8" spans="1:10" ht="27" thickTop="1" thickBot="1" x14ac:dyDescent="0.25">
      <c r="A8" s="18" t="s">
        <v>6</v>
      </c>
      <c r="B8" s="18" t="s">
        <v>150</v>
      </c>
      <c r="C8" s="39" t="s">
        <v>1453</v>
      </c>
      <c r="D8" s="39" t="s">
        <v>760</v>
      </c>
      <c r="E8" s="107" t="s">
        <v>1454</v>
      </c>
      <c r="F8" s="107" t="s">
        <v>1455</v>
      </c>
      <c r="G8" s="39" t="s">
        <v>760</v>
      </c>
      <c r="H8" s="39" t="s">
        <v>760</v>
      </c>
      <c r="I8" s="39" t="s">
        <v>760</v>
      </c>
      <c r="J8" s="39" t="s">
        <v>760</v>
      </c>
    </row>
    <row r="9" spans="1:10" ht="27" thickTop="1" thickBot="1" x14ac:dyDescent="0.25">
      <c r="A9" s="18" t="s">
        <v>161</v>
      </c>
      <c r="B9" s="18" t="s">
        <v>162</v>
      </c>
      <c r="C9" s="39" t="s">
        <v>1456</v>
      </c>
      <c r="D9" s="39" t="s">
        <v>760</v>
      </c>
      <c r="E9" s="107" t="s">
        <v>1457</v>
      </c>
      <c r="F9" s="107" t="s">
        <v>1458</v>
      </c>
      <c r="G9" s="107" t="s">
        <v>1459</v>
      </c>
      <c r="H9" s="39" t="s">
        <v>760</v>
      </c>
      <c r="I9" s="39" t="s">
        <v>760</v>
      </c>
      <c r="J9" s="39" t="s">
        <v>760</v>
      </c>
    </row>
    <row r="10" spans="1:10" ht="27" thickTop="1" thickBot="1" x14ac:dyDescent="0.25">
      <c r="A10" s="18" t="s">
        <v>171</v>
      </c>
      <c r="B10" s="18" t="s">
        <v>172</v>
      </c>
      <c r="C10" s="39" t="s">
        <v>1460</v>
      </c>
      <c r="D10" s="39" t="s">
        <v>760</v>
      </c>
      <c r="E10" s="39" t="s">
        <v>760</v>
      </c>
      <c r="F10" s="39" t="s">
        <v>760</v>
      </c>
      <c r="G10" s="39" t="s">
        <v>760</v>
      </c>
      <c r="H10" s="107" t="s">
        <v>1460</v>
      </c>
      <c r="I10" s="39" t="s">
        <v>760</v>
      </c>
      <c r="J10" s="39" t="s">
        <v>760</v>
      </c>
    </row>
    <row r="11" spans="1:10" ht="27" thickTop="1" thickBot="1" x14ac:dyDescent="0.25">
      <c r="A11" s="18" t="s">
        <v>196</v>
      </c>
      <c r="B11" s="18" t="s">
        <v>197</v>
      </c>
      <c r="C11" s="39" t="s">
        <v>1461</v>
      </c>
      <c r="D11" s="39" t="s">
        <v>760</v>
      </c>
      <c r="E11" s="39" t="s">
        <v>760</v>
      </c>
      <c r="F11" s="107" t="s">
        <v>1462</v>
      </c>
      <c r="G11" s="107" t="s">
        <v>1463</v>
      </c>
      <c r="H11" s="39" t="s">
        <v>760</v>
      </c>
      <c r="I11" s="39" t="s">
        <v>760</v>
      </c>
      <c r="J11" s="39" t="s">
        <v>760</v>
      </c>
    </row>
    <row r="12" spans="1:10" ht="27" thickTop="1" thickBot="1" x14ac:dyDescent="0.25">
      <c r="A12" s="18" t="s">
        <v>210</v>
      </c>
      <c r="B12" s="18" t="s">
        <v>211</v>
      </c>
      <c r="C12" s="39" t="s">
        <v>1464</v>
      </c>
      <c r="D12" s="39" t="s">
        <v>760</v>
      </c>
      <c r="E12" s="107" t="s">
        <v>1465</v>
      </c>
      <c r="F12" s="107" t="s">
        <v>1466</v>
      </c>
      <c r="G12" s="107" t="s">
        <v>1465</v>
      </c>
      <c r="H12" s="107" t="s">
        <v>1467</v>
      </c>
      <c r="I12" s="107" t="s">
        <v>1468</v>
      </c>
      <c r="J12" s="39" t="s">
        <v>760</v>
      </c>
    </row>
    <row r="13" spans="1:10" ht="27" thickTop="1" thickBot="1" x14ac:dyDescent="0.25">
      <c r="A13" s="18" t="s">
        <v>315</v>
      </c>
      <c r="B13" s="18" t="s">
        <v>316</v>
      </c>
      <c r="C13" s="39" t="s">
        <v>1469</v>
      </c>
      <c r="D13" s="39" t="s">
        <v>760</v>
      </c>
      <c r="E13" s="107" t="s">
        <v>1470</v>
      </c>
      <c r="F13" s="107" t="s">
        <v>1471</v>
      </c>
      <c r="G13" s="107" t="s">
        <v>1471</v>
      </c>
      <c r="H13" s="107" t="s">
        <v>1472</v>
      </c>
      <c r="I13" s="107" t="s">
        <v>1470</v>
      </c>
      <c r="J13" s="39" t="s">
        <v>760</v>
      </c>
    </row>
    <row r="14" spans="1:10" ht="27" thickTop="1" thickBot="1" x14ac:dyDescent="0.25">
      <c r="A14" s="18" t="s">
        <v>446</v>
      </c>
      <c r="B14" s="18" t="s">
        <v>447</v>
      </c>
      <c r="C14" s="39" t="s">
        <v>1473</v>
      </c>
      <c r="D14" s="39" t="s">
        <v>760</v>
      </c>
      <c r="E14" s="39" t="s">
        <v>760</v>
      </c>
      <c r="F14" s="39" t="s">
        <v>760</v>
      </c>
      <c r="G14" s="39" t="s">
        <v>760</v>
      </c>
      <c r="H14" s="107" t="s">
        <v>1473</v>
      </c>
      <c r="I14" s="39" t="s">
        <v>760</v>
      </c>
      <c r="J14" s="39" t="s">
        <v>760</v>
      </c>
    </row>
    <row r="15" spans="1:10" ht="27" thickTop="1" thickBot="1" x14ac:dyDescent="0.25">
      <c r="A15" s="18" t="s">
        <v>454</v>
      </c>
      <c r="B15" s="18" t="s">
        <v>455</v>
      </c>
      <c r="C15" s="39" t="s">
        <v>1474</v>
      </c>
      <c r="D15" s="39" t="s">
        <v>760</v>
      </c>
      <c r="E15" s="39" t="s">
        <v>760</v>
      </c>
      <c r="F15" s="39" t="s">
        <v>760</v>
      </c>
      <c r="G15" s="107" t="s">
        <v>1475</v>
      </c>
      <c r="H15" s="107" t="s">
        <v>1476</v>
      </c>
      <c r="I15" s="39" t="s">
        <v>760</v>
      </c>
      <c r="J15" s="39" t="s">
        <v>760</v>
      </c>
    </row>
    <row r="16" spans="1:10" ht="27" thickTop="1" thickBot="1" x14ac:dyDescent="0.25">
      <c r="A16" s="18" t="s">
        <v>467</v>
      </c>
      <c r="B16" s="18" t="s">
        <v>468</v>
      </c>
      <c r="C16" s="39" t="s">
        <v>1477</v>
      </c>
      <c r="D16" s="39" t="s">
        <v>760</v>
      </c>
      <c r="E16" s="39" t="s">
        <v>760</v>
      </c>
      <c r="F16" s="39" t="s">
        <v>760</v>
      </c>
      <c r="G16" s="107" t="s">
        <v>1477</v>
      </c>
      <c r="H16" s="39" t="s">
        <v>760</v>
      </c>
      <c r="I16" s="39" t="s">
        <v>760</v>
      </c>
      <c r="J16" s="39" t="s">
        <v>760</v>
      </c>
    </row>
    <row r="17" spans="1:10" ht="27" thickTop="1" thickBot="1" x14ac:dyDescent="0.25">
      <c r="A17" s="18" t="s">
        <v>472</v>
      </c>
      <c r="B17" s="18" t="s">
        <v>473</v>
      </c>
      <c r="C17" s="39" t="s">
        <v>1478</v>
      </c>
      <c r="D17" s="39" t="s">
        <v>760</v>
      </c>
      <c r="E17" s="39" t="s">
        <v>760</v>
      </c>
      <c r="F17" s="39" t="s">
        <v>760</v>
      </c>
      <c r="G17" s="107" t="s">
        <v>1479</v>
      </c>
      <c r="H17" s="107" t="s">
        <v>1480</v>
      </c>
      <c r="I17" s="39" t="s">
        <v>760</v>
      </c>
      <c r="J17" s="39" t="s">
        <v>760</v>
      </c>
    </row>
    <row r="18" spans="1:10" ht="27" thickTop="1" thickBot="1" x14ac:dyDescent="0.25">
      <c r="A18" s="18" t="s">
        <v>519</v>
      </c>
      <c r="B18" s="18" t="s">
        <v>520</v>
      </c>
      <c r="C18" s="39" t="s">
        <v>1481</v>
      </c>
      <c r="D18" s="39" t="s">
        <v>760</v>
      </c>
      <c r="E18" s="39" t="s">
        <v>760</v>
      </c>
      <c r="F18" s="39" t="s">
        <v>760</v>
      </c>
      <c r="G18" s="39" t="s">
        <v>760</v>
      </c>
      <c r="H18" s="39" t="s">
        <v>760</v>
      </c>
      <c r="I18" s="107" t="s">
        <v>1482</v>
      </c>
      <c r="J18" s="107" t="s">
        <v>1483</v>
      </c>
    </row>
    <row r="19" spans="1:10" ht="27" thickTop="1" thickBot="1" x14ac:dyDescent="0.25">
      <c r="A19" s="18" t="s">
        <v>527</v>
      </c>
      <c r="B19" s="18" t="s">
        <v>528</v>
      </c>
      <c r="C19" s="39" t="s">
        <v>1484</v>
      </c>
      <c r="D19" s="39" t="s">
        <v>760</v>
      </c>
      <c r="E19" s="39" t="s">
        <v>760</v>
      </c>
      <c r="F19" s="39" t="s">
        <v>760</v>
      </c>
      <c r="G19" s="39" t="s">
        <v>760</v>
      </c>
      <c r="H19" s="107" t="s">
        <v>1484</v>
      </c>
      <c r="I19" s="39" t="s">
        <v>760</v>
      </c>
      <c r="J19" s="39" t="s">
        <v>760</v>
      </c>
    </row>
    <row r="20" spans="1:10" ht="27" thickTop="1" thickBot="1" x14ac:dyDescent="0.25">
      <c r="A20" s="18" t="s">
        <v>557</v>
      </c>
      <c r="B20" s="18" t="s">
        <v>1356</v>
      </c>
      <c r="C20" s="39" t="s">
        <v>1485</v>
      </c>
      <c r="D20" s="107" t="s">
        <v>1486</v>
      </c>
      <c r="E20" s="107" t="s">
        <v>1487</v>
      </c>
      <c r="F20" s="39" t="s">
        <v>760</v>
      </c>
      <c r="G20" s="39" t="s">
        <v>760</v>
      </c>
      <c r="H20" s="39" t="s">
        <v>760</v>
      </c>
      <c r="I20" s="39" t="s">
        <v>760</v>
      </c>
      <c r="J20" s="39" t="s">
        <v>760</v>
      </c>
    </row>
    <row r="21" spans="1:10" ht="27" thickTop="1" thickBot="1" x14ac:dyDescent="0.25">
      <c r="A21" s="18" t="s">
        <v>1404</v>
      </c>
      <c r="B21" s="18" t="s">
        <v>8</v>
      </c>
      <c r="C21" s="39" t="s">
        <v>1488</v>
      </c>
      <c r="D21" s="39" t="s">
        <v>760</v>
      </c>
      <c r="E21" s="39" t="s">
        <v>760</v>
      </c>
      <c r="F21" s="39" t="s">
        <v>760</v>
      </c>
      <c r="G21" s="39" t="s">
        <v>760</v>
      </c>
      <c r="H21" s="39" t="s">
        <v>760</v>
      </c>
      <c r="I21" s="39" t="s">
        <v>760</v>
      </c>
      <c r="J21" s="107" t="s">
        <v>1488</v>
      </c>
    </row>
    <row r="22" spans="1:10" ht="15" thickTop="1" x14ac:dyDescent="0.2">
      <c r="A22" s="112" t="s">
        <v>1489</v>
      </c>
      <c r="B22" s="112"/>
      <c r="C22" s="101"/>
      <c r="D22" s="77" t="s">
        <v>1490</v>
      </c>
      <c r="E22" s="77" t="s">
        <v>1491</v>
      </c>
      <c r="F22" s="77" t="s">
        <v>1492</v>
      </c>
      <c r="G22" s="77" t="s">
        <v>1493</v>
      </c>
      <c r="H22" s="77" t="s">
        <v>1494</v>
      </c>
      <c r="I22" s="77" t="s">
        <v>1495</v>
      </c>
      <c r="J22" s="77" t="s">
        <v>1496</v>
      </c>
    </row>
    <row r="23" spans="1:10" x14ac:dyDescent="0.2">
      <c r="A23" s="112" t="s">
        <v>1497</v>
      </c>
      <c r="B23" s="112"/>
      <c r="C23" s="101"/>
      <c r="D23" s="77" t="s">
        <v>1498</v>
      </c>
      <c r="E23" s="77" t="s">
        <v>1499</v>
      </c>
      <c r="F23" s="77" t="s">
        <v>1500</v>
      </c>
      <c r="G23" s="77" t="s">
        <v>1501</v>
      </c>
      <c r="H23" s="77" t="s">
        <v>1502</v>
      </c>
      <c r="I23" s="77" t="s">
        <v>1503</v>
      </c>
      <c r="J23" s="77" t="s">
        <v>1504</v>
      </c>
    </row>
    <row r="24" spans="1:10" x14ac:dyDescent="0.2">
      <c r="A24" s="112" t="s">
        <v>1505</v>
      </c>
      <c r="B24" s="112"/>
      <c r="C24" s="101"/>
      <c r="D24" s="77" t="s">
        <v>1490</v>
      </c>
      <c r="E24" s="77" t="s">
        <v>1506</v>
      </c>
      <c r="F24" s="77" t="s">
        <v>1507</v>
      </c>
      <c r="G24" s="77" t="s">
        <v>1508</v>
      </c>
      <c r="H24" s="77" t="s">
        <v>1509</v>
      </c>
      <c r="I24" s="77" t="s">
        <v>1510</v>
      </c>
      <c r="J24" s="77" t="s">
        <v>1511</v>
      </c>
    </row>
    <row r="25" spans="1:10" x14ac:dyDescent="0.2">
      <c r="A25" s="112" t="s">
        <v>1512</v>
      </c>
      <c r="B25" s="112"/>
      <c r="C25" s="101"/>
      <c r="D25" s="77" t="s">
        <v>1498</v>
      </c>
      <c r="E25" s="77" t="s">
        <v>1513</v>
      </c>
      <c r="F25" s="77" t="s">
        <v>1514</v>
      </c>
      <c r="G25" s="77" t="s">
        <v>1515</v>
      </c>
      <c r="H25" s="77" t="s">
        <v>1516</v>
      </c>
      <c r="I25" s="77" t="s">
        <v>1517</v>
      </c>
      <c r="J25" s="77" t="s">
        <v>1518</v>
      </c>
    </row>
    <row r="27" spans="1:10" x14ac:dyDescent="0.2">
      <c r="A27" s="129" t="s">
        <v>10</v>
      </c>
      <c r="B27" s="129"/>
      <c r="C27" s="129"/>
      <c r="D27" s="129"/>
      <c r="E27" s="129"/>
      <c r="F27" s="129"/>
    </row>
  </sheetData>
  <mergeCells count="10">
    <mergeCell ref="A27:F27"/>
    <mergeCell ref="A1:B1"/>
    <mergeCell ref="D1:E1"/>
    <mergeCell ref="A2:B2"/>
    <mergeCell ref="D2:E2"/>
    <mergeCell ref="A3:F3"/>
    <mergeCell ref="A22:B22"/>
    <mergeCell ref="A23:B23"/>
    <mergeCell ref="A24:B24"/>
    <mergeCell ref="A25:B25"/>
  </mergeCells>
  <pageMargins left="0.51181102362204722" right="0.15748031496062992" top="0.15748031496062992" bottom="0.15748031496062992" header="0.15748031496062992" footer="0.15748031496062992"/>
  <pageSetup paperSize="9" scale="80" orientation="landscape" r:id="rId1"/>
  <headerFooter>
    <oddHeader xml:space="preserve">&amp;L &amp;C </oddHeader>
    <oddFooter xml:space="preserve">&amp;L &amp;C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WC60"/>
  <sheetViews>
    <sheetView topLeftCell="I13" workbookViewId="0">
      <selection activeCell="T16" sqref="T16:U24"/>
    </sheetView>
  </sheetViews>
  <sheetFormatPr defaultColWidth="0" defaultRowHeight="12.75" customHeight="1" zeroHeight="1" x14ac:dyDescent="0.2"/>
  <cols>
    <col min="1" max="1" width="26.5" style="42" hidden="1" customWidth="1"/>
    <col min="2" max="3" width="8" style="42" hidden="1" customWidth="1"/>
    <col min="4" max="4" width="20.625" style="42" hidden="1" customWidth="1"/>
    <col min="5" max="8" width="8" style="42" hidden="1" customWidth="1"/>
    <col min="9" max="13" width="9.375" style="42" customWidth="1"/>
    <col min="14" max="14" width="17" style="42" customWidth="1"/>
    <col min="15" max="15" width="11.25" style="42" customWidth="1"/>
    <col min="16" max="18" width="9.375" style="42" customWidth="1"/>
    <col min="19" max="19" width="3.25" style="42" customWidth="1"/>
    <col min="20" max="20" width="25.875" style="42" customWidth="1"/>
    <col min="21" max="21" width="12" style="42" customWidth="1"/>
    <col min="22" max="256" width="8" style="42" hidden="1"/>
    <col min="257" max="264" width="8" style="42" hidden="1" customWidth="1"/>
    <col min="265" max="270" width="9.375" style="42" customWidth="1"/>
    <col min="271" max="271" width="11.25" style="42" customWidth="1"/>
    <col min="272" max="274" width="9.375" style="42" customWidth="1"/>
    <col min="275" max="275" width="3.25" style="42" customWidth="1"/>
    <col min="276" max="276" width="25.875" style="42" customWidth="1"/>
    <col min="277" max="277" width="12" style="42" customWidth="1"/>
    <col min="278" max="512" width="8" style="42" hidden="1"/>
    <col min="513" max="520" width="8" style="42" hidden="1" customWidth="1"/>
    <col min="521" max="526" width="9.375" style="42" customWidth="1"/>
    <col min="527" max="527" width="11.25" style="42" customWidth="1"/>
    <col min="528" max="530" width="9.375" style="42" customWidth="1"/>
    <col min="531" max="531" width="3.25" style="42" customWidth="1"/>
    <col min="532" max="532" width="25.875" style="42" customWidth="1"/>
    <col min="533" max="533" width="12" style="42" customWidth="1"/>
    <col min="534" max="768" width="8" style="42" hidden="1"/>
    <col min="769" max="776" width="8" style="42" hidden="1" customWidth="1"/>
    <col min="777" max="782" width="9.375" style="42" customWidth="1"/>
    <col min="783" max="783" width="11.25" style="42" customWidth="1"/>
    <col min="784" max="786" width="9.375" style="42" customWidth="1"/>
    <col min="787" max="787" width="3.25" style="42" customWidth="1"/>
    <col min="788" max="788" width="25.875" style="42" customWidth="1"/>
    <col min="789" max="789" width="12" style="42" customWidth="1"/>
    <col min="790" max="1024" width="8" style="42" hidden="1"/>
    <col min="1025" max="1032" width="8" style="42" hidden="1" customWidth="1"/>
    <col min="1033" max="1038" width="9.375" style="42" customWidth="1"/>
    <col min="1039" max="1039" width="11.25" style="42" customWidth="1"/>
    <col min="1040" max="1042" width="9.375" style="42" customWidth="1"/>
    <col min="1043" max="1043" width="3.25" style="42" customWidth="1"/>
    <col min="1044" max="1044" width="25.875" style="42" customWidth="1"/>
    <col min="1045" max="1045" width="12" style="42" customWidth="1"/>
    <col min="1046" max="1280" width="8" style="42" hidden="1"/>
    <col min="1281" max="1288" width="8" style="42" hidden="1" customWidth="1"/>
    <col min="1289" max="1294" width="9.375" style="42" customWidth="1"/>
    <col min="1295" max="1295" width="11.25" style="42" customWidth="1"/>
    <col min="1296" max="1298" width="9.375" style="42" customWidth="1"/>
    <col min="1299" max="1299" width="3.25" style="42" customWidth="1"/>
    <col min="1300" max="1300" width="25.875" style="42" customWidth="1"/>
    <col min="1301" max="1301" width="12" style="42" customWidth="1"/>
    <col min="1302" max="1536" width="8" style="42" hidden="1"/>
    <col min="1537" max="1544" width="8" style="42" hidden="1" customWidth="1"/>
    <col min="1545" max="1550" width="9.375" style="42" customWidth="1"/>
    <col min="1551" max="1551" width="11.25" style="42" customWidth="1"/>
    <col min="1552" max="1554" width="9.375" style="42" customWidth="1"/>
    <col min="1555" max="1555" width="3.25" style="42" customWidth="1"/>
    <col min="1556" max="1556" width="25.875" style="42" customWidth="1"/>
    <col min="1557" max="1557" width="12" style="42" customWidth="1"/>
    <col min="1558" max="1792" width="8" style="42" hidden="1"/>
    <col min="1793" max="1800" width="8" style="42" hidden="1" customWidth="1"/>
    <col min="1801" max="1806" width="9.375" style="42" customWidth="1"/>
    <col min="1807" max="1807" width="11.25" style="42" customWidth="1"/>
    <col min="1808" max="1810" width="9.375" style="42" customWidth="1"/>
    <col min="1811" max="1811" width="3.25" style="42" customWidth="1"/>
    <col min="1812" max="1812" width="25.875" style="42" customWidth="1"/>
    <col min="1813" max="1813" width="12" style="42" customWidth="1"/>
    <col min="1814" max="2048" width="8" style="42" hidden="1"/>
    <col min="2049" max="2056" width="8" style="42" hidden="1" customWidth="1"/>
    <col min="2057" max="2062" width="9.375" style="42" customWidth="1"/>
    <col min="2063" max="2063" width="11.25" style="42" customWidth="1"/>
    <col min="2064" max="2066" width="9.375" style="42" customWidth="1"/>
    <col min="2067" max="2067" width="3.25" style="42" customWidth="1"/>
    <col min="2068" max="2068" width="25.875" style="42" customWidth="1"/>
    <col min="2069" max="2069" width="12" style="42" customWidth="1"/>
    <col min="2070" max="2304" width="8" style="42" hidden="1"/>
    <col min="2305" max="2312" width="8" style="42" hidden="1" customWidth="1"/>
    <col min="2313" max="2318" width="9.375" style="42" customWidth="1"/>
    <col min="2319" max="2319" width="11.25" style="42" customWidth="1"/>
    <col min="2320" max="2322" width="9.375" style="42" customWidth="1"/>
    <col min="2323" max="2323" width="3.25" style="42" customWidth="1"/>
    <col min="2324" max="2324" width="25.875" style="42" customWidth="1"/>
    <col min="2325" max="2325" width="12" style="42" customWidth="1"/>
    <col min="2326" max="2560" width="8" style="42" hidden="1"/>
    <col min="2561" max="2568" width="8" style="42" hidden="1" customWidth="1"/>
    <col min="2569" max="2574" width="9.375" style="42" customWidth="1"/>
    <col min="2575" max="2575" width="11.25" style="42" customWidth="1"/>
    <col min="2576" max="2578" width="9.375" style="42" customWidth="1"/>
    <col min="2579" max="2579" width="3.25" style="42" customWidth="1"/>
    <col min="2580" max="2580" width="25.875" style="42" customWidth="1"/>
    <col min="2581" max="2581" width="12" style="42" customWidth="1"/>
    <col min="2582" max="2816" width="8" style="42" hidden="1"/>
    <col min="2817" max="2824" width="8" style="42" hidden="1" customWidth="1"/>
    <col min="2825" max="2830" width="9.375" style="42" customWidth="1"/>
    <col min="2831" max="2831" width="11.25" style="42" customWidth="1"/>
    <col min="2832" max="2834" width="9.375" style="42" customWidth="1"/>
    <col min="2835" max="2835" width="3.25" style="42" customWidth="1"/>
    <col min="2836" max="2836" width="25.875" style="42" customWidth="1"/>
    <col min="2837" max="2837" width="12" style="42" customWidth="1"/>
    <col min="2838" max="3072" width="8" style="42" hidden="1"/>
    <col min="3073" max="3080" width="8" style="42" hidden="1" customWidth="1"/>
    <col min="3081" max="3086" width="9.375" style="42" customWidth="1"/>
    <col min="3087" max="3087" width="11.25" style="42" customWidth="1"/>
    <col min="3088" max="3090" width="9.375" style="42" customWidth="1"/>
    <col min="3091" max="3091" width="3.25" style="42" customWidth="1"/>
    <col min="3092" max="3092" width="25.875" style="42" customWidth="1"/>
    <col min="3093" max="3093" width="12" style="42" customWidth="1"/>
    <col min="3094" max="3328" width="8" style="42" hidden="1"/>
    <col min="3329" max="3336" width="8" style="42" hidden="1" customWidth="1"/>
    <col min="3337" max="3342" width="9.375" style="42" customWidth="1"/>
    <col min="3343" max="3343" width="11.25" style="42" customWidth="1"/>
    <col min="3344" max="3346" width="9.375" style="42" customWidth="1"/>
    <col min="3347" max="3347" width="3.25" style="42" customWidth="1"/>
    <col min="3348" max="3348" width="25.875" style="42" customWidth="1"/>
    <col min="3349" max="3349" width="12" style="42" customWidth="1"/>
    <col min="3350" max="3584" width="8" style="42" hidden="1"/>
    <col min="3585" max="3592" width="8" style="42" hidden="1" customWidth="1"/>
    <col min="3593" max="3598" width="9.375" style="42" customWidth="1"/>
    <col min="3599" max="3599" width="11.25" style="42" customWidth="1"/>
    <col min="3600" max="3602" width="9.375" style="42" customWidth="1"/>
    <col min="3603" max="3603" width="3.25" style="42" customWidth="1"/>
    <col min="3604" max="3604" width="25.875" style="42" customWidth="1"/>
    <col min="3605" max="3605" width="12" style="42" customWidth="1"/>
    <col min="3606" max="3840" width="8" style="42" hidden="1"/>
    <col min="3841" max="3848" width="8" style="42" hidden="1" customWidth="1"/>
    <col min="3849" max="3854" width="9.375" style="42" customWidth="1"/>
    <col min="3855" max="3855" width="11.25" style="42" customWidth="1"/>
    <col min="3856" max="3858" width="9.375" style="42" customWidth="1"/>
    <col min="3859" max="3859" width="3.25" style="42" customWidth="1"/>
    <col min="3860" max="3860" width="25.875" style="42" customWidth="1"/>
    <col min="3861" max="3861" width="12" style="42" customWidth="1"/>
    <col min="3862" max="4096" width="8" style="42" hidden="1"/>
    <col min="4097" max="4104" width="8" style="42" hidden="1" customWidth="1"/>
    <col min="4105" max="4110" width="9.375" style="42" customWidth="1"/>
    <col min="4111" max="4111" width="11.25" style="42" customWidth="1"/>
    <col min="4112" max="4114" width="9.375" style="42" customWidth="1"/>
    <col min="4115" max="4115" width="3.25" style="42" customWidth="1"/>
    <col min="4116" max="4116" width="25.875" style="42" customWidth="1"/>
    <col min="4117" max="4117" width="12" style="42" customWidth="1"/>
    <col min="4118" max="4352" width="8" style="42" hidden="1"/>
    <col min="4353" max="4360" width="8" style="42" hidden="1" customWidth="1"/>
    <col min="4361" max="4366" width="9.375" style="42" customWidth="1"/>
    <col min="4367" max="4367" width="11.25" style="42" customWidth="1"/>
    <col min="4368" max="4370" width="9.375" style="42" customWidth="1"/>
    <col min="4371" max="4371" width="3.25" style="42" customWidth="1"/>
    <col min="4372" max="4372" width="25.875" style="42" customWidth="1"/>
    <col min="4373" max="4373" width="12" style="42" customWidth="1"/>
    <col min="4374" max="4608" width="8" style="42" hidden="1"/>
    <col min="4609" max="4616" width="8" style="42" hidden="1" customWidth="1"/>
    <col min="4617" max="4622" width="9.375" style="42" customWidth="1"/>
    <col min="4623" max="4623" width="11.25" style="42" customWidth="1"/>
    <col min="4624" max="4626" width="9.375" style="42" customWidth="1"/>
    <col min="4627" max="4627" width="3.25" style="42" customWidth="1"/>
    <col min="4628" max="4628" width="25.875" style="42" customWidth="1"/>
    <col min="4629" max="4629" width="12" style="42" customWidth="1"/>
    <col min="4630" max="4864" width="8" style="42" hidden="1"/>
    <col min="4865" max="4872" width="8" style="42" hidden="1" customWidth="1"/>
    <col min="4873" max="4878" width="9.375" style="42" customWidth="1"/>
    <col min="4879" max="4879" width="11.25" style="42" customWidth="1"/>
    <col min="4880" max="4882" width="9.375" style="42" customWidth="1"/>
    <col min="4883" max="4883" width="3.25" style="42" customWidth="1"/>
    <col min="4884" max="4884" width="25.875" style="42" customWidth="1"/>
    <col min="4885" max="4885" width="12" style="42" customWidth="1"/>
    <col min="4886" max="5120" width="8" style="42" hidden="1"/>
    <col min="5121" max="5128" width="8" style="42" hidden="1" customWidth="1"/>
    <col min="5129" max="5134" width="9.375" style="42" customWidth="1"/>
    <col min="5135" max="5135" width="11.25" style="42" customWidth="1"/>
    <col min="5136" max="5138" width="9.375" style="42" customWidth="1"/>
    <col min="5139" max="5139" width="3.25" style="42" customWidth="1"/>
    <col min="5140" max="5140" width="25.875" style="42" customWidth="1"/>
    <col min="5141" max="5141" width="12" style="42" customWidth="1"/>
    <col min="5142" max="5376" width="8" style="42" hidden="1"/>
    <col min="5377" max="5384" width="8" style="42" hidden="1" customWidth="1"/>
    <col min="5385" max="5390" width="9.375" style="42" customWidth="1"/>
    <col min="5391" max="5391" width="11.25" style="42" customWidth="1"/>
    <col min="5392" max="5394" width="9.375" style="42" customWidth="1"/>
    <col min="5395" max="5395" width="3.25" style="42" customWidth="1"/>
    <col min="5396" max="5396" width="25.875" style="42" customWidth="1"/>
    <col min="5397" max="5397" width="12" style="42" customWidth="1"/>
    <col min="5398" max="5632" width="8" style="42" hidden="1"/>
    <col min="5633" max="5640" width="8" style="42" hidden="1" customWidth="1"/>
    <col min="5641" max="5646" width="9.375" style="42" customWidth="1"/>
    <col min="5647" max="5647" width="11.25" style="42" customWidth="1"/>
    <col min="5648" max="5650" width="9.375" style="42" customWidth="1"/>
    <col min="5651" max="5651" width="3.25" style="42" customWidth="1"/>
    <col min="5652" max="5652" width="25.875" style="42" customWidth="1"/>
    <col min="5653" max="5653" width="12" style="42" customWidth="1"/>
    <col min="5654" max="5888" width="8" style="42" hidden="1"/>
    <col min="5889" max="5896" width="8" style="42" hidden="1" customWidth="1"/>
    <col min="5897" max="5902" width="9.375" style="42" customWidth="1"/>
    <col min="5903" max="5903" width="11.25" style="42" customWidth="1"/>
    <col min="5904" max="5906" width="9.375" style="42" customWidth="1"/>
    <col min="5907" max="5907" width="3.25" style="42" customWidth="1"/>
    <col min="5908" max="5908" width="25.875" style="42" customWidth="1"/>
    <col min="5909" max="5909" width="12" style="42" customWidth="1"/>
    <col min="5910" max="6144" width="8" style="42" hidden="1"/>
    <col min="6145" max="6152" width="8" style="42" hidden="1" customWidth="1"/>
    <col min="6153" max="6158" width="9.375" style="42" customWidth="1"/>
    <col min="6159" max="6159" width="11.25" style="42" customWidth="1"/>
    <col min="6160" max="6162" width="9.375" style="42" customWidth="1"/>
    <col min="6163" max="6163" width="3.25" style="42" customWidth="1"/>
    <col min="6164" max="6164" width="25.875" style="42" customWidth="1"/>
    <col min="6165" max="6165" width="12" style="42" customWidth="1"/>
    <col min="6166" max="6400" width="8" style="42" hidden="1"/>
    <col min="6401" max="6408" width="8" style="42" hidden="1" customWidth="1"/>
    <col min="6409" max="6414" width="9.375" style="42" customWidth="1"/>
    <col min="6415" max="6415" width="11.25" style="42" customWidth="1"/>
    <col min="6416" max="6418" width="9.375" style="42" customWidth="1"/>
    <col min="6419" max="6419" width="3.25" style="42" customWidth="1"/>
    <col min="6420" max="6420" width="25.875" style="42" customWidth="1"/>
    <col min="6421" max="6421" width="12" style="42" customWidth="1"/>
    <col min="6422" max="6656" width="8" style="42" hidden="1"/>
    <col min="6657" max="6664" width="8" style="42" hidden="1" customWidth="1"/>
    <col min="6665" max="6670" width="9.375" style="42" customWidth="1"/>
    <col min="6671" max="6671" width="11.25" style="42" customWidth="1"/>
    <col min="6672" max="6674" width="9.375" style="42" customWidth="1"/>
    <col min="6675" max="6675" width="3.25" style="42" customWidth="1"/>
    <col min="6676" max="6676" width="25.875" style="42" customWidth="1"/>
    <col min="6677" max="6677" width="12" style="42" customWidth="1"/>
    <col min="6678" max="6912" width="8" style="42" hidden="1"/>
    <col min="6913" max="6920" width="8" style="42" hidden="1" customWidth="1"/>
    <col min="6921" max="6926" width="9.375" style="42" customWidth="1"/>
    <col min="6927" max="6927" width="11.25" style="42" customWidth="1"/>
    <col min="6928" max="6930" width="9.375" style="42" customWidth="1"/>
    <col min="6931" max="6931" width="3.25" style="42" customWidth="1"/>
    <col min="6932" max="6932" width="25.875" style="42" customWidth="1"/>
    <col min="6933" max="6933" width="12" style="42" customWidth="1"/>
    <col min="6934" max="7168" width="8" style="42" hidden="1"/>
    <col min="7169" max="7176" width="8" style="42" hidden="1" customWidth="1"/>
    <col min="7177" max="7182" width="9.375" style="42" customWidth="1"/>
    <col min="7183" max="7183" width="11.25" style="42" customWidth="1"/>
    <col min="7184" max="7186" width="9.375" style="42" customWidth="1"/>
    <col min="7187" max="7187" width="3.25" style="42" customWidth="1"/>
    <col min="7188" max="7188" width="25.875" style="42" customWidth="1"/>
    <col min="7189" max="7189" width="12" style="42" customWidth="1"/>
    <col min="7190" max="7424" width="8" style="42" hidden="1"/>
    <col min="7425" max="7432" width="8" style="42" hidden="1" customWidth="1"/>
    <col min="7433" max="7438" width="9.375" style="42" customWidth="1"/>
    <col min="7439" max="7439" width="11.25" style="42" customWidth="1"/>
    <col min="7440" max="7442" width="9.375" style="42" customWidth="1"/>
    <col min="7443" max="7443" width="3.25" style="42" customWidth="1"/>
    <col min="7444" max="7444" width="25.875" style="42" customWidth="1"/>
    <col min="7445" max="7445" width="12" style="42" customWidth="1"/>
    <col min="7446" max="7680" width="8" style="42" hidden="1"/>
    <col min="7681" max="7688" width="8" style="42" hidden="1" customWidth="1"/>
    <col min="7689" max="7694" width="9.375" style="42" customWidth="1"/>
    <col min="7695" max="7695" width="11.25" style="42" customWidth="1"/>
    <col min="7696" max="7698" width="9.375" style="42" customWidth="1"/>
    <col min="7699" max="7699" width="3.25" style="42" customWidth="1"/>
    <col min="7700" max="7700" width="25.875" style="42" customWidth="1"/>
    <col min="7701" max="7701" width="12" style="42" customWidth="1"/>
    <col min="7702" max="7936" width="8" style="42" hidden="1"/>
    <col min="7937" max="7944" width="8" style="42" hidden="1" customWidth="1"/>
    <col min="7945" max="7950" width="9.375" style="42" customWidth="1"/>
    <col min="7951" max="7951" width="11.25" style="42" customWidth="1"/>
    <col min="7952" max="7954" width="9.375" style="42" customWidth="1"/>
    <col min="7955" max="7955" width="3.25" style="42" customWidth="1"/>
    <col min="7956" max="7956" width="25.875" style="42" customWidth="1"/>
    <col min="7957" max="7957" width="12" style="42" customWidth="1"/>
    <col min="7958" max="8192" width="8" style="42" hidden="1"/>
    <col min="8193" max="8200" width="8" style="42" hidden="1" customWidth="1"/>
    <col min="8201" max="8206" width="9.375" style="42" customWidth="1"/>
    <col min="8207" max="8207" width="11.25" style="42" customWidth="1"/>
    <col min="8208" max="8210" width="9.375" style="42" customWidth="1"/>
    <col min="8211" max="8211" width="3.25" style="42" customWidth="1"/>
    <col min="8212" max="8212" width="25.875" style="42" customWidth="1"/>
    <col min="8213" max="8213" width="12" style="42" customWidth="1"/>
    <col min="8214" max="8448" width="8" style="42" hidden="1"/>
    <col min="8449" max="8456" width="8" style="42" hidden="1" customWidth="1"/>
    <col min="8457" max="8462" width="9.375" style="42" customWidth="1"/>
    <col min="8463" max="8463" width="11.25" style="42" customWidth="1"/>
    <col min="8464" max="8466" width="9.375" style="42" customWidth="1"/>
    <col min="8467" max="8467" width="3.25" style="42" customWidth="1"/>
    <col min="8468" max="8468" width="25.875" style="42" customWidth="1"/>
    <col min="8469" max="8469" width="12" style="42" customWidth="1"/>
    <col min="8470" max="8704" width="8" style="42" hidden="1"/>
    <col min="8705" max="8712" width="8" style="42" hidden="1" customWidth="1"/>
    <col min="8713" max="8718" width="9.375" style="42" customWidth="1"/>
    <col min="8719" max="8719" width="11.25" style="42" customWidth="1"/>
    <col min="8720" max="8722" width="9.375" style="42" customWidth="1"/>
    <col min="8723" max="8723" width="3.25" style="42" customWidth="1"/>
    <col min="8724" max="8724" width="25.875" style="42" customWidth="1"/>
    <col min="8725" max="8725" width="12" style="42" customWidth="1"/>
    <col min="8726" max="8960" width="8" style="42" hidden="1"/>
    <col min="8961" max="8968" width="8" style="42" hidden="1" customWidth="1"/>
    <col min="8969" max="8974" width="9.375" style="42" customWidth="1"/>
    <col min="8975" max="8975" width="11.25" style="42" customWidth="1"/>
    <col min="8976" max="8978" width="9.375" style="42" customWidth="1"/>
    <col min="8979" max="8979" width="3.25" style="42" customWidth="1"/>
    <col min="8980" max="8980" width="25.875" style="42" customWidth="1"/>
    <col min="8981" max="8981" width="12" style="42" customWidth="1"/>
    <col min="8982" max="9216" width="8" style="42" hidden="1"/>
    <col min="9217" max="9224" width="8" style="42" hidden="1" customWidth="1"/>
    <col min="9225" max="9230" width="9.375" style="42" customWidth="1"/>
    <col min="9231" max="9231" width="11.25" style="42" customWidth="1"/>
    <col min="9232" max="9234" width="9.375" style="42" customWidth="1"/>
    <col min="9235" max="9235" width="3.25" style="42" customWidth="1"/>
    <col min="9236" max="9236" width="25.875" style="42" customWidth="1"/>
    <col min="9237" max="9237" width="12" style="42" customWidth="1"/>
    <col min="9238" max="9472" width="8" style="42" hidden="1"/>
    <col min="9473" max="9480" width="8" style="42" hidden="1" customWidth="1"/>
    <col min="9481" max="9486" width="9.375" style="42" customWidth="1"/>
    <col min="9487" max="9487" width="11.25" style="42" customWidth="1"/>
    <col min="9488" max="9490" width="9.375" style="42" customWidth="1"/>
    <col min="9491" max="9491" width="3.25" style="42" customWidth="1"/>
    <col min="9492" max="9492" width="25.875" style="42" customWidth="1"/>
    <col min="9493" max="9493" width="12" style="42" customWidth="1"/>
    <col min="9494" max="9728" width="8" style="42" hidden="1"/>
    <col min="9729" max="9736" width="8" style="42" hidden="1" customWidth="1"/>
    <col min="9737" max="9742" width="9.375" style="42" customWidth="1"/>
    <col min="9743" max="9743" width="11.25" style="42" customWidth="1"/>
    <col min="9744" max="9746" width="9.375" style="42" customWidth="1"/>
    <col min="9747" max="9747" width="3.25" style="42" customWidth="1"/>
    <col min="9748" max="9748" width="25.875" style="42" customWidth="1"/>
    <col min="9749" max="9749" width="12" style="42" customWidth="1"/>
    <col min="9750" max="9984" width="8" style="42" hidden="1"/>
    <col min="9985" max="9992" width="8" style="42" hidden="1" customWidth="1"/>
    <col min="9993" max="9998" width="9.375" style="42" customWidth="1"/>
    <col min="9999" max="9999" width="11.25" style="42" customWidth="1"/>
    <col min="10000" max="10002" width="9.375" style="42" customWidth="1"/>
    <col min="10003" max="10003" width="3.25" style="42" customWidth="1"/>
    <col min="10004" max="10004" width="25.875" style="42" customWidth="1"/>
    <col min="10005" max="10005" width="12" style="42" customWidth="1"/>
    <col min="10006" max="10240" width="8" style="42" hidden="1"/>
    <col min="10241" max="10248" width="8" style="42" hidden="1" customWidth="1"/>
    <col min="10249" max="10254" width="9.375" style="42" customWidth="1"/>
    <col min="10255" max="10255" width="11.25" style="42" customWidth="1"/>
    <col min="10256" max="10258" width="9.375" style="42" customWidth="1"/>
    <col min="10259" max="10259" width="3.25" style="42" customWidth="1"/>
    <col min="10260" max="10260" width="25.875" style="42" customWidth="1"/>
    <col min="10261" max="10261" width="12" style="42" customWidth="1"/>
    <col min="10262" max="10496" width="8" style="42" hidden="1"/>
    <col min="10497" max="10504" width="8" style="42" hidden="1" customWidth="1"/>
    <col min="10505" max="10510" width="9.375" style="42" customWidth="1"/>
    <col min="10511" max="10511" width="11.25" style="42" customWidth="1"/>
    <col min="10512" max="10514" width="9.375" style="42" customWidth="1"/>
    <col min="10515" max="10515" width="3.25" style="42" customWidth="1"/>
    <col min="10516" max="10516" width="25.875" style="42" customWidth="1"/>
    <col min="10517" max="10517" width="12" style="42" customWidth="1"/>
    <col min="10518" max="10752" width="8" style="42" hidden="1"/>
    <col min="10753" max="10760" width="8" style="42" hidden="1" customWidth="1"/>
    <col min="10761" max="10766" width="9.375" style="42" customWidth="1"/>
    <col min="10767" max="10767" width="11.25" style="42" customWidth="1"/>
    <col min="10768" max="10770" width="9.375" style="42" customWidth="1"/>
    <col min="10771" max="10771" width="3.25" style="42" customWidth="1"/>
    <col min="10772" max="10772" width="25.875" style="42" customWidth="1"/>
    <col min="10773" max="10773" width="12" style="42" customWidth="1"/>
    <col min="10774" max="11008" width="8" style="42" hidden="1"/>
    <col min="11009" max="11016" width="8" style="42" hidden="1" customWidth="1"/>
    <col min="11017" max="11022" width="9.375" style="42" customWidth="1"/>
    <col min="11023" max="11023" width="11.25" style="42" customWidth="1"/>
    <col min="11024" max="11026" width="9.375" style="42" customWidth="1"/>
    <col min="11027" max="11027" width="3.25" style="42" customWidth="1"/>
    <col min="11028" max="11028" width="25.875" style="42" customWidth="1"/>
    <col min="11029" max="11029" width="12" style="42" customWidth="1"/>
    <col min="11030" max="11264" width="8" style="42" hidden="1"/>
    <col min="11265" max="11272" width="8" style="42" hidden="1" customWidth="1"/>
    <col min="11273" max="11278" width="9.375" style="42" customWidth="1"/>
    <col min="11279" max="11279" width="11.25" style="42" customWidth="1"/>
    <col min="11280" max="11282" width="9.375" style="42" customWidth="1"/>
    <col min="11283" max="11283" width="3.25" style="42" customWidth="1"/>
    <col min="11284" max="11284" width="25.875" style="42" customWidth="1"/>
    <col min="11285" max="11285" width="12" style="42" customWidth="1"/>
    <col min="11286" max="11520" width="8" style="42" hidden="1"/>
    <col min="11521" max="11528" width="8" style="42" hidden="1" customWidth="1"/>
    <col min="11529" max="11534" width="9.375" style="42" customWidth="1"/>
    <col min="11535" max="11535" width="11.25" style="42" customWidth="1"/>
    <col min="11536" max="11538" width="9.375" style="42" customWidth="1"/>
    <col min="11539" max="11539" width="3.25" style="42" customWidth="1"/>
    <col min="11540" max="11540" width="25.875" style="42" customWidth="1"/>
    <col min="11541" max="11541" width="12" style="42" customWidth="1"/>
    <col min="11542" max="11776" width="8" style="42" hidden="1"/>
    <col min="11777" max="11784" width="8" style="42" hidden="1" customWidth="1"/>
    <col min="11785" max="11790" width="9.375" style="42" customWidth="1"/>
    <col min="11791" max="11791" width="11.25" style="42" customWidth="1"/>
    <col min="11792" max="11794" width="9.375" style="42" customWidth="1"/>
    <col min="11795" max="11795" width="3.25" style="42" customWidth="1"/>
    <col min="11796" max="11796" width="25.875" style="42" customWidth="1"/>
    <col min="11797" max="11797" width="12" style="42" customWidth="1"/>
    <col min="11798" max="12032" width="8" style="42" hidden="1"/>
    <col min="12033" max="12040" width="8" style="42" hidden="1" customWidth="1"/>
    <col min="12041" max="12046" width="9.375" style="42" customWidth="1"/>
    <col min="12047" max="12047" width="11.25" style="42" customWidth="1"/>
    <col min="12048" max="12050" width="9.375" style="42" customWidth="1"/>
    <col min="12051" max="12051" width="3.25" style="42" customWidth="1"/>
    <col min="12052" max="12052" width="25.875" style="42" customWidth="1"/>
    <col min="12053" max="12053" width="12" style="42" customWidth="1"/>
    <col min="12054" max="12288" width="8" style="42" hidden="1"/>
    <col min="12289" max="12296" width="8" style="42" hidden="1" customWidth="1"/>
    <col min="12297" max="12302" width="9.375" style="42" customWidth="1"/>
    <col min="12303" max="12303" width="11.25" style="42" customWidth="1"/>
    <col min="12304" max="12306" width="9.375" style="42" customWidth="1"/>
    <col min="12307" max="12307" width="3.25" style="42" customWidth="1"/>
    <col min="12308" max="12308" width="25.875" style="42" customWidth="1"/>
    <col min="12309" max="12309" width="12" style="42" customWidth="1"/>
    <col min="12310" max="12544" width="8" style="42" hidden="1"/>
    <col min="12545" max="12552" width="8" style="42" hidden="1" customWidth="1"/>
    <col min="12553" max="12558" width="9.375" style="42" customWidth="1"/>
    <col min="12559" max="12559" width="11.25" style="42" customWidth="1"/>
    <col min="12560" max="12562" width="9.375" style="42" customWidth="1"/>
    <col min="12563" max="12563" width="3.25" style="42" customWidth="1"/>
    <col min="12564" max="12564" width="25.875" style="42" customWidth="1"/>
    <col min="12565" max="12565" width="12" style="42" customWidth="1"/>
    <col min="12566" max="12800" width="8" style="42" hidden="1"/>
    <col min="12801" max="12808" width="8" style="42" hidden="1" customWidth="1"/>
    <col min="12809" max="12814" width="9.375" style="42" customWidth="1"/>
    <col min="12815" max="12815" width="11.25" style="42" customWidth="1"/>
    <col min="12816" max="12818" width="9.375" style="42" customWidth="1"/>
    <col min="12819" max="12819" width="3.25" style="42" customWidth="1"/>
    <col min="12820" max="12820" width="25.875" style="42" customWidth="1"/>
    <col min="12821" max="12821" width="12" style="42" customWidth="1"/>
    <col min="12822" max="13056" width="8" style="42" hidden="1"/>
    <col min="13057" max="13064" width="8" style="42" hidden="1" customWidth="1"/>
    <col min="13065" max="13070" width="9.375" style="42" customWidth="1"/>
    <col min="13071" max="13071" width="11.25" style="42" customWidth="1"/>
    <col min="13072" max="13074" width="9.375" style="42" customWidth="1"/>
    <col min="13075" max="13075" width="3.25" style="42" customWidth="1"/>
    <col min="13076" max="13076" width="25.875" style="42" customWidth="1"/>
    <col min="13077" max="13077" width="12" style="42" customWidth="1"/>
    <col min="13078" max="13312" width="8" style="42" hidden="1"/>
    <col min="13313" max="13320" width="8" style="42" hidden="1" customWidth="1"/>
    <col min="13321" max="13326" width="9.375" style="42" customWidth="1"/>
    <col min="13327" max="13327" width="11.25" style="42" customWidth="1"/>
    <col min="13328" max="13330" width="9.375" style="42" customWidth="1"/>
    <col min="13331" max="13331" width="3.25" style="42" customWidth="1"/>
    <col min="13332" max="13332" width="25.875" style="42" customWidth="1"/>
    <col min="13333" max="13333" width="12" style="42" customWidth="1"/>
    <col min="13334" max="13568" width="8" style="42" hidden="1"/>
    <col min="13569" max="13576" width="8" style="42" hidden="1" customWidth="1"/>
    <col min="13577" max="13582" width="9.375" style="42" customWidth="1"/>
    <col min="13583" max="13583" width="11.25" style="42" customWidth="1"/>
    <col min="13584" max="13586" width="9.375" style="42" customWidth="1"/>
    <col min="13587" max="13587" width="3.25" style="42" customWidth="1"/>
    <col min="13588" max="13588" width="25.875" style="42" customWidth="1"/>
    <col min="13589" max="13589" width="12" style="42" customWidth="1"/>
    <col min="13590" max="13824" width="8" style="42" hidden="1"/>
    <col min="13825" max="13832" width="8" style="42" hidden="1" customWidth="1"/>
    <col min="13833" max="13838" width="9.375" style="42" customWidth="1"/>
    <col min="13839" max="13839" width="11.25" style="42" customWidth="1"/>
    <col min="13840" max="13842" width="9.375" style="42" customWidth="1"/>
    <col min="13843" max="13843" width="3.25" style="42" customWidth="1"/>
    <col min="13844" max="13844" width="25.875" style="42" customWidth="1"/>
    <col min="13845" max="13845" width="12" style="42" customWidth="1"/>
    <col min="13846" max="14080" width="8" style="42" hidden="1"/>
    <col min="14081" max="14088" width="8" style="42" hidden="1" customWidth="1"/>
    <col min="14089" max="14094" width="9.375" style="42" customWidth="1"/>
    <col min="14095" max="14095" width="11.25" style="42" customWidth="1"/>
    <col min="14096" max="14098" width="9.375" style="42" customWidth="1"/>
    <col min="14099" max="14099" width="3.25" style="42" customWidth="1"/>
    <col min="14100" max="14100" width="25.875" style="42" customWidth="1"/>
    <col min="14101" max="14101" width="12" style="42" customWidth="1"/>
    <col min="14102" max="14336" width="8" style="42" hidden="1"/>
    <col min="14337" max="14344" width="8" style="42" hidden="1" customWidth="1"/>
    <col min="14345" max="14350" width="9.375" style="42" customWidth="1"/>
    <col min="14351" max="14351" width="11.25" style="42" customWidth="1"/>
    <col min="14352" max="14354" width="9.375" style="42" customWidth="1"/>
    <col min="14355" max="14355" width="3.25" style="42" customWidth="1"/>
    <col min="14356" max="14356" width="25.875" style="42" customWidth="1"/>
    <col min="14357" max="14357" width="12" style="42" customWidth="1"/>
    <col min="14358" max="14592" width="8" style="42" hidden="1"/>
    <col min="14593" max="14600" width="8" style="42" hidden="1" customWidth="1"/>
    <col min="14601" max="14606" width="9.375" style="42" customWidth="1"/>
    <col min="14607" max="14607" width="11.25" style="42" customWidth="1"/>
    <col min="14608" max="14610" width="9.375" style="42" customWidth="1"/>
    <col min="14611" max="14611" width="3.25" style="42" customWidth="1"/>
    <col min="14612" max="14612" width="25.875" style="42" customWidth="1"/>
    <col min="14613" max="14613" width="12" style="42" customWidth="1"/>
    <col min="14614" max="14848" width="8" style="42" hidden="1"/>
    <col min="14849" max="14856" width="8" style="42" hidden="1" customWidth="1"/>
    <col min="14857" max="14862" width="9.375" style="42" customWidth="1"/>
    <col min="14863" max="14863" width="11.25" style="42" customWidth="1"/>
    <col min="14864" max="14866" width="9.375" style="42" customWidth="1"/>
    <col min="14867" max="14867" width="3.25" style="42" customWidth="1"/>
    <col min="14868" max="14868" width="25.875" style="42" customWidth="1"/>
    <col min="14869" max="14869" width="12" style="42" customWidth="1"/>
    <col min="14870" max="15104" width="8" style="42" hidden="1"/>
    <col min="15105" max="15112" width="8" style="42" hidden="1" customWidth="1"/>
    <col min="15113" max="15118" width="9.375" style="42" customWidth="1"/>
    <col min="15119" max="15119" width="11.25" style="42" customWidth="1"/>
    <col min="15120" max="15122" width="9.375" style="42" customWidth="1"/>
    <col min="15123" max="15123" width="3.25" style="42" customWidth="1"/>
    <col min="15124" max="15124" width="25.875" style="42" customWidth="1"/>
    <col min="15125" max="15125" width="12" style="42" customWidth="1"/>
    <col min="15126" max="15360" width="8" style="42" hidden="1"/>
    <col min="15361" max="15368" width="8" style="42" hidden="1" customWidth="1"/>
    <col min="15369" max="15374" width="9.375" style="42" customWidth="1"/>
    <col min="15375" max="15375" width="11.25" style="42" customWidth="1"/>
    <col min="15376" max="15378" width="9.375" style="42" customWidth="1"/>
    <col min="15379" max="15379" width="3.25" style="42" customWidth="1"/>
    <col min="15380" max="15380" width="25.875" style="42" customWidth="1"/>
    <col min="15381" max="15381" width="12" style="42" customWidth="1"/>
    <col min="15382" max="15616" width="8" style="42" hidden="1"/>
    <col min="15617" max="15624" width="8" style="42" hidden="1" customWidth="1"/>
    <col min="15625" max="15630" width="9.375" style="42" customWidth="1"/>
    <col min="15631" max="15631" width="11.25" style="42" customWidth="1"/>
    <col min="15632" max="15634" width="9.375" style="42" customWidth="1"/>
    <col min="15635" max="15635" width="3.25" style="42" customWidth="1"/>
    <col min="15636" max="15636" width="25.875" style="42" customWidth="1"/>
    <col min="15637" max="15637" width="12" style="42" customWidth="1"/>
    <col min="15638" max="15872" width="8" style="42" hidden="1"/>
    <col min="15873" max="15880" width="8" style="42" hidden="1" customWidth="1"/>
    <col min="15881" max="15886" width="9.375" style="42" customWidth="1"/>
    <col min="15887" max="15887" width="11.25" style="42" customWidth="1"/>
    <col min="15888" max="15890" width="9.375" style="42" customWidth="1"/>
    <col min="15891" max="15891" width="3.25" style="42" customWidth="1"/>
    <col min="15892" max="15892" width="25.875" style="42" customWidth="1"/>
    <col min="15893" max="15893" width="12" style="42" customWidth="1"/>
    <col min="15894" max="16128" width="8" style="42" hidden="1"/>
    <col min="16129" max="16136" width="8" style="42" hidden="1" customWidth="1"/>
    <col min="16137" max="16142" width="9.375" style="42" customWidth="1"/>
    <col min="16143" max="16143" width="11.25" style="42" customWidth="1"/>
    <col min="16144" max="16146" width="9.375" style="42" customWidth="1"/>
    <col min="16147" max="16147" width="3.25" style="42" customWidth="1"/>
    <col min="16148" max="16148" width="25.875" style="42" customWidth="1"/>
    <col min="16149" max="16149" width="12" style="42" customWidth="1"/>
    <col min="16150" max="16384" width="8" style="42" hidden="1"/>
  </cols>
  <sheetData>
    <row r="1" spans="1:29" ht="15" customHeight="1" x14ac:dyDescent="0.25">
      <c r="E1" s="43" t="s">
        <v>709</v>
      </c>
      <c r="F1" s="43" t="s">
        <v>710</v>
      </c>
      <c r="G1" s="43" t="s">
        <v>711</v>
      </c>
      <c r="N1" s="44" t="s">
        <v>712</v>
      </c>
      <c r="Q1" s="45"/>
      <c r="R1" s="45"/>
    </row>
    <row r="2" spans="1:29" ht="15" x14ac:dyDescent="0.25">
      <c r="A2" s="42" t="s">
        <v>713</v>
      </c>
      <c r="B2" s="46" t="s">
        <v>714</v>
      </c>
      <c r="C2" s="42" t="str">
        <f t="shared" ref="C2:C49" si="0">CONCATENATE(A2,"-",B2)</f>
        <v>Construção e Reforma de Edifícios-AC</v>
      </c>
      <c r="E2" s="47">
        <v>0.03</v>
      </c>
      <c r="F2" s="47">
        <v>0.04</v>
      </c>
      <c r="G2" s="47">
        <v>5.5E-2</v>
      </c>
      <c r="Q2" s="45"/>
      <c r="R2" s="45"/>
    </row>
    <row r="3" spans="1:29" x14ac:dyDescent="0.2">
      <c r="A3" s="42" t="str">
        <f>A2</f>
        <v>Construção e Reforma de Edifícios</v>
      </c>
      <c r="B3" s="46" t="s">
        <v>715</v>
      </c>
      <c r="C3" s="42" t="str">
        <f t="shared" si="0"/>
        <v>Construção e Reforma de Edifícios-SG</v>
      </c>
      <c r="E3" s="47">
        <v>8.0000000000000002E-3</v>
      </c>
      <c r="F3" s="47">
        <v>8.0000000000000002E-3</v>
      </c>
      <c r="G3" s="47">
        <v>0.01</v>
      </c>
    </row>
    <row r="4" spans="1:29" x14ac:dyDescent="0.2">
      <c r="A4" s="42" t="str">
        <f>A3</f>
        <v>Construção e Reforma de Edifícios</v>
      </c>
      <c r="B4" s="46" t="s">
        <v>716</v>
      </c>
      <c r="C4" s="42" t="str">
        <f t="shared" si="0"/>
        <v>Construção e Reforma de Edifícios-R</v>
      </c>
      <c r="E4" s="47">
        <v>9.7000000000000003E-3</v>
      </c>
      <c r="F4" s="47">
        <v>1.2699999999999999E-2</v>
      </c>
      <c r="G4" s="47">
        <v>1.2699999999999999E-2</v>
      </c>
      <c r="I4" s="159" t="s">
        <v>717</v>
      </c>
      <c r="J4" s="161"/>
      <c r="K4" s="159" t="s">
        <v>718</v>
      </c>
      <c r="L4" s="160"/>
      <c r="M4" s="160"/>
      <c r="N4" s="160"/>
      <c r="O4" s="160"/>
      <c r="P4" s="160"/>
      <c r="Q4" s="160"/>
      <c r="R4" s="161"/>
    </row>
    <row r="5" spans="1:29" ht="12.75" customHeight="1" x14ac:dyDescent="0.3">
      <c r="A5" s="42" t="str">
        <f>A4</f>
        <v>Construção e Reforma de Edifícios</v>
      </c>
      <c r="B5" s="46" t="s">
        <v>719</v>
      </c>
      <c r="C5" s="42" t="str">
        <f t="shared" si="0"/>
        <v>Construção e Reforma de Edifícios-DF</v>
      </c>
      <c r="E5" s="47">
        <v>5.8999999999999999E-3</v>
      </c>
      <c r="F5" s="47">
        <v>1.23E-2</v>
      </c>
      <c r="G5" s="47">
        <v>1.3899999999999999E-2</v>
      </c>
      <c r="I5" s="169"/>
      <c r="J5" s="170"/>
      <c r="K5" s="171"/>
      <c r="L5" s="172"/>
      <c r="M5" s="172"/>
      <c r="N5" s="172"/>
      <c r="O5" s="172"/>
      <c r="P5" s="172"/>
      <c r="Q5" s="172"/>
      <c r="R5" s="173"/>
      <c r="S5" s="49"/>
    </row>
    <row r="6" spans="1:29" ht="6" customHeight="1" x14ac:dyDescent="0.2">
      <c r="A6" s="42" t="str">
        <f>A5</f>
        <v>Construção e Reforma de Edifícios</v>
      </c>
      <c r="B6" s="46" t="s">
        <v>720</v>
      </c>
      <c r="C6" s="42" t="str">
        <f t="shared" si="0"/>
        <v>Construção e Reforma de Edifícios-L</v>
      </c>
      <c r="E6" s="47">
        <v>6.1600000000000002E-2</v>
      </c>
      <c r="F6" s="47">
        <v>7.400000000000001E-2</v>
      </c>
      <c r="G6" s="47">
        <v>8.9600000000000013E-2</v>
      </c>
      <c r="I6" s="50"/>
      <c r="J6" s="50"/>
      <c r="K6" s="50"/>
      <c r="L6" s="50"/>
      <c r="M6" s="50"/>
      <c r="N6" s="50"/>
      <c r="O6" s="50"/>
      <c r="P6" s="50"/>
      <c r="Q6" s="50"/>
      <c r="R6" s="50"/>
    </row>
    <row r="7" spans="1:29" ht="13.5" customHeight="1" x14ac:dyDescent="0.2">
      <c r="A7" s="42" t="str">
        <f>A6</f>
        <v>Construção e Reforma de Edifícios</v>
      </c>
      <c r="B7" s="51" t="s">
        <v>721</v>
      </c>
      <c r="C7" s="42" t="str">
        <f t="shared" si="0"/>
        <v>Construção e Reforma de Edifícios-BDI PAD</v>
      </c>
      <c r="E7" s="47">
        <v>0.2034</v>
      </c>
      <c r="F7" s="47">
        <v>0.22120000000000001</v>
      </c>
      <c r="G7" s="47">
        <v>0.25</v>
      </c>
      <c r="I7" s="159" t="s">
        <v>722</v>
      </c>
      <c r="J7" s="160"/>
      <c r="K7" s="160"/>
      <c r="L7" s="160"/>
      <c r="M7" s="160"/>
      <c r="N7" s="160"/>
      <c r="O7" s="160"/>
      <c r="P7" s="160"/>
      <c r="Q7" s="160"/>
      <c r="R7" s="161"/>
    </row>
    <row r="8" spans="1:29" x14ac:dyDescent="0.2">
      <c r="A8" s="42" t="s">
        <v>723</v>
      </c>
      <c r="B8" s="46" t="s">
        <v>714</v>
      </c>
      <c r="C8" s="42" t="str">
        <f t="shared" si="0"/>
        <v>Construção de Praças Urbanas, Rodovias, Ferrovias e recapeamento e pavimentação de vias urbanas-AC</v>
      </c>
      <c r="E8" s="47">
        <v>3.7999999999999999E-2</v>
      </c>
      <c r="F8" s="47">
        <v>4.0099999999999997E-2</v>
      </c>
      <c r="G8" s="47">
        <v>4.6699999999999998E-2</v>
      </c>
      <c r="I8" s="168" t="str">
        <f>'Orçamento Sintético'!A3</f>
        <v>OBRA: PORTARIA DA UNIVERSIDADE FRANCO MONTORO</v>
      </c>
      <c r="J8" s="168"/>
      <c r="K8" s="168"/>
      <c r="L8" s="168"/>
      <c r="M8" s="168"/>
      <c r="N8" s="168"/>
      <c r="O8" s="168"/>
      <c r="P8" s="168"/>
      <c r="Q8" s="168"/>
      <c r="R8" s="168"/>
    </row>
    <row r="9" spans="1:29" ht="6" customHeight="1" x14ac:dyDescent="0.2">
      <c r="A9" s="42" t="s">
        <v>723</v>
      </c>
      <c r="B9" s="46" t="s">
        <v>715</v>
      </c>
      <c r="C9" s="42" t="str">
        <f t="shared" si="0"/>
        <v>Construção de Praças Urbanas, Rodovias, Ferrovias e recapeamento e pavimentação de vias urbanas-SG</v>
      </c>
      <c r="E9" s="47">
        <v>3.2000000000000002E-3</v>
      </c>
      <c r="F9" s="47">
        <v>4.0000000000000001E-3</v>
      </c>
      <c r="G9" s="47">
        <v>7.4000000000000003E-3</v>
      </c>
      <c r="I9" s="50"/>
      <c r="J9" s="50"/>
      <c r="K9" s="50"/>
      <c r="L9" s="50"/>
      <c r="M9" s="50"/>
      <c r="N9" s="50"/>
      <c r="O9" s="50"/>
      <c r="P9" s="50"/>
      <c r="Q9" s="50"/>
      <c r="R9" s="50"/>
    </row>
    <row r="10" spans="1:29" x14ac:dyDescent="0.2">
      <c r="A10" s="42" t="s">
        <v>723</v>
      </c>
      <c r="B10" s="46" t="s">
        <v>716</v>
      </c>
      <c r="C10" s="42" t="str">
        <f t="shared" si="0"/>
        <v>Construção de Praças Urbanas, Rodovias, Ferrovias e recapeamento e pavimentação de vias urbanas-R</v>
      </c>
      <c r="E10" s="47">
        <v>5.0000000000000001E-3</v>
      </c>
      <c r="F10" s="47">
        <v>5.6000000000000008E-3</v>
      </c>
      <c r="G10" s="47">
        <v>9.7000000000000003E-3</v>
      </c>
      <c r="I10" s="159" t="s">
        <v>724</v>
      </c>
      <c r="J10" s="160"/>
      <c r="K10" s="160"/>
      <c r="L10" s="160"/>
      <c r="M10" s="160"/>
      <c r="N10" s="160"/>
      <c r="O10" s="160"/>
      <c r="P10" s="160"/>
      <c r="Q10" s="159" t="s">
        <v>725</v>
      </c>
      <c r="R10" s="161"/>
    </row>
    <row r="11" spans="1:29" x14ac:dyDescent="0.2">
      <c r="A11" s="42" t="s">
        <v>723</v>
      </c>
      <c r="B11" s="46" t="s">
        <v>719</v>
      </c>
      <c r="C11" s="42" t="str">
        <f t="shared" si="0"/>
        <v>Construção de Praças Urbanas, Rodovias, Ferrovias e recapeamento e pavimentação de vias urbanas-DF</v>
      </c>
      <c r="E11" s="47">
        <v>1.0200000000000001E-2</v>
      </c>
      <c r="F11" s="47">
        <v>1.11E-2</v>
      </c>
      <c r="G11" s="47">
        <v>1.21E-2</v>
      </c>
      <c r="I11" s="162" t="s">
        <v>713</v>
      </c>
      <c r="J11" s="163"/>
      <c r="K11" s="163"/>
      <c r="L11" s="163"/>
      <c r="M11" s="163"/>
      <c r="N11" s="163"/>
      <c r="O11" s="163"/>
      <c r="P11" s="164"/>
      <c r="Q11" s="165" t="str">
        <f>[7]DADOS!$C$38</f>
        <v>Sim</v>
      </c>
      <c r="R11" s="166"/>
    </row>
    <row r="12" spans="1:29" x14ac:dyDescent="0.2">
      <c r="A12" s="42" t="s">
        <v>723</v>
      </c>
      <c r="B12" s="46" t="s">
        <v>720</v>
      </c>
      <c r="C12" s="42" t="str">
        <f t="shared" si="0"/>
        <v>Construção de Praças Urbanas, Rodovias, Ferrovias e recapeamento e pavimentação de vias urbanas-L</v>
      </c>
      <c r="E12" s="47">
        <v>6.6400000000000001E-2</v>
      </c>
      <c r="F12" s="47">
        <v>7.2999999999999995E-2</v>
      </c>
      <c r="G12" s="47">
        <v>8.6899999999999991E-2</v>
      </c>
    </row>
    <row r="13" spans="1:29" ht="15" customHeight="1" x14ac:dyDescent="0.2">
      <c r="A13" s="42" t="s">
        <v>723</v>
      </c>
      <c r="B13" s="51" t="s">
        <v>721</v>
      </c>
      <c r="C13" s="42" t="str">
        <f t="shared" si="0"/>
        <v>Construção de Praças Urbanas, Rodovias, Ferrovias e recapeamento e pavimentação de vias urbanas-BDI PAD</v>
      </c>
      <c r="E13" s="47">
        <v>0.19600000000000001</v>
      </c>
      <c r="F13" s="47">
        <v>0.2097</v>
      </c>
      <c r="G13" s="47">
        <v>0.24230000000000002</v>
      </c>
      <c r="I13" s="167" t="s">
        <v>726</v>
      </c>
      <c r="J13" s="167"/>
      <c r="K13" s="167"/>
      <c r="L13" s="167"/>
      <c r="M13" s="167"/>
      <c r="N13" s="167"/>
      <c r="O13" s="167"/>
      <c r="P13" s="167"/>
      <c r="Q13" s="155">
        <v>1</v>
      </c>
      <c r="R13" s="155"/>
    </row>
    <row r="14" spans="1:29" ht="15" customHeight="1" x14ac:dyDescent="0.2">
      <c r="A14" s="42" t="s">
        <v>727</v>
      </c>
      <c r="B14" s="46" t="s">
        <v>714</v>
      </c>
      <c r="C14" s="42" t="str">
        <f t="shared" si="0"/>
        <v>Construção de Redes de Abastecimento de Água, Coleta de Esgoto-AC</v>
      </c>
      <c r="E14" s="47">
        <v>3.4300000000000004E-2</v>
      </c>
      <c r="F14" s="47">
        <v>4.9299999999999997E-2</v>
      </c>
      <c r="G14" s="47">
        <v>6.7099999999999993E-2</v>
      </c>
      <c r="I14" s="154" t="s">
        <v>728</v>
      </c>
      <c r="J14" s="154"/>
      <c r="K14" s="154"/>
      <c r="L14" s="154"/>
      <c r="M14" s="154"/>
      <c r="N14" s="154"/>
      <c r="O14" s="154"/>
      <c r="P14" s="154"/>
      <c r="Q14" s="155">
        <v>0.05</v>
      </c>
      <c r="R14" s="155"/>
    </row>
    <row r="15" spans="1:29" x14ac:dyDescent="0.2">
      <c r="A15" s="42" t="str">
        <f>A14</f>
        <v>Construção de Redes de Abastecimento de Água, Coleta de Esgoto</v>
      </c>
      <c r="B15" s="46" t="s">
        <v>715</v>
      </c>
      <c r="C15" s="42" t="str">
        <f t="shared" si="0"/>
        <v>Construção de Redes de Abastecimento de Água, Coleta de Esgoto-SG</v>
      </c>
      <c r="E15" s="47">
        <v>2.8000000000000004E-3</v>
      </c>
      <c r="F15" s="47">
        <v>4.8999999999999998E-3</v>
      </c>
      <c r="G15" s="47">
        <v>7.4999999999999997E-3</v>
      </c>
    </row>
    <row r="16" spans="1:29" ht="12.75" customHeight="1" x14ac:dyDescent="0.2">
      <c r="B16" s="46"/>
      <c r="E16" s="47"/>
      <c r="F16" s="47"/>
      <c r="G16" s="47"/>
      <c r="I16" s="156" t="s">
        <v>729</v>
      </c>
      <c r="J16" s="156"/>
      <c r="K16" s="156"/>
      <c r="L16" s="156"/>
      <c r="M16" s="156" t="s">
        <v>730</v>
      </c>
      <c r="N16" s="157" t="s">
        <v>731</v>
      </c>
      <c r="O16" s="157" t="s">
        <v>732</v>
      </c>
      <c r="P16" s="156" t="s">
        <v>733</v>
      </c>
      <c r="Q16" s="156" t="s">
        <v>734</v>
      </c>
      <c r="R16" s="158" t="s">
        <v>735</v>
      </c>
      <c r="T16" s="152" t="str">
        <f>IF(V27,"Para BDI fora do intervalo estatístico, deve ser apresentado Relatório Técnico Circunstanciado justificando a adoção do percentual de cada parcela do BDI.","")</f>
        <v/>
      </c>
      <c r="U16" s="152"/>
      <c r="V16" s="53"/>
      <c r="W16" s="53"/>
      <c r="X16" s="53"/>
      <c r="Y16" s="53"/>
      <c r="Z16" s="53"/>
      <c r="AA16" s="53"/>
      <c r="AB16" s="53"/>
      <c r="AC16" s="53"/>
    </row>
    <row r="17" spans="1:31" ht="15.75" customHeight="1" x14ac:dyDescent="0.2">
      <c r="A17" s="42" t="str">
        <f>A15</f>
        <v>Construção de Redes de Abastecimento de Água, Coleta de Esgoto</v>
      </c>
      <c r="B17" s="46" t="s">
        <v>716</v>
      </c>
      <c r="C17" s="42" t="str">
        <f t="shared" si="0"/>
        <v>Construção de Redes de Abastecimento de Água, Coleta de Esgoto-R</v>
      </c>
      <c r="E17" s="47">
        <v>0.01</v>
      </c>
      <c r="F17" s="47">
        <v>1.3899999999999999E-2</v>
      </c>
      <c r="G17" s="47">
        <v>1.7399999999999999E-2</v>
      </c>
      <c r="I17" s="156"/>
      <c r="J17" s="156"/>
      <c r="K17" s="156"/>
      <c r="L17" s="156"/>
      <c r="M17" s="156"/>
      <c r="N17" s="157"/>
      <c r="O17" s="157"/>
      <c r="P17" s="156"/>
      <c r="Q17" s="156"/>
      <c r="R17" s="158"/>
      <c r="T17" s="152"/>
      <c r="U17" s="152"/>
      <c r="V17" s="53"/>
      <c r="W17" s="53"/>
      <c r="X17" s="53"/>
      <c r="Y17" s="53"/>
      <c r="Z17" s="53"/>
      <c r="AA17" s="53"/>
      <c r="AB17" s="53"/>
      <c r="AC17" s="53"/>
    </row>
    <row r="18" spans="1:31" ht="26.25" customHeight="1" x14ac:dyDescent="0.2">
      <c r="A18" s="42" t="str">
        <f>A17</f>
        <v>Construção de Redes de Abastecimento de Água, Coleta de Esgoto</v>
      </c>
      <c r="B18" s="46" t="s">
        <v>719</v>
      </c>
      <c r="C18" s="42" t="str">
        <f t="shared" si="0"/>
        <v>Construção de Redes de Abastecimento de Água, Coleta de Esgoto-DF</v>
      </c>
      <c r="E18" s="47">
        <v>9.3999999999999986E-3</v>
      </c>
      <c r="F18" s="47">
        <v>9.8999999999999991E-3</v>
      </c>
      <c r="G18" s="47">
        <v>1.1699999999999999E-2</v>
      </c>
      <c r="I18" s="142" t="str">
        <f>IF($I$11=$A$59,"Encargos Sociais incidentes sobre a mão de obra","Administração Central")</f>
        <v>Administração Central</v>
      </c>
      <c r="J18" s="142"/>
      <c r="K18" s="142"/>
      <c r="L18" s="142"/>
      <c r="M18" s="54" t="str">
        <f>IF($I$11=$A$59,"K1","AC")</f>
        <v>AC</v>
      </c>
      <c r="N18" s="55">
        <v>0.03</v>
      </c>
      <c r="O18" s="56" t="s">
        <v>736</v>
      </c>
      <c r="P18" s="57">
        <f>VLOOKUP(CONCATENATE(I$11,"-",M18),$C$2:$G$49,3,FALSE)</f>
        <v>0.03</v>
      </c>
      <c r="Q18" s="57">
        <f>VLOOKUP(CONCATENATE(I$11,"-",M18),$C$2:$G$49,4,FALSE)</f>
        <v>0.04</v>
      </c>
      <c r="R18" s="57">
        <f>VLOOKUP(CONCATENATE(I$11,"-",M18),$C$2:$G$49,5,FALSE)</f>
        <v>5.5E-2</v>
      </c>
      <c r="T18" s="152"/>
      <c r="U18" s="152"/>
      <c r="V18" s="53"/>
      <c r="W18" s="53"/>
      <c r="X18" s="53"/>
      <c r="Y18" s="53"/>
      <c r="Z18" s="53"/>
      <c r="AA18" s="53"/>
      <c r="AB18" s="53"/>
      <c r="AC18" s="53"/>
    </row>
    <row r="19" spans="1:31" ht="26.25" customHeight="1" x14ac:dyDescent="0.2">
      <c r="A19" s="42" t="str">
        <f>A18</f>
        <v>Construção de Redes de Abastecimento de Água, Coleta de Esgoto</v>
      </c>
      <c r="B19" s="46" t="s">
        <v>720</v>
      </c>
      <c r="C19" s="42" t="str">
        <f t="shared" si="0"/>
        <v>Construção de Redes de Abastecimento de Água, Coleta de Esgoto-L</v>
      </c>
      <c r="E19" s="47">
        <v>6.7400000000000002E-2</v>
      </c>
      <c r="F19" s="47">
        <v>8.0399999999999985E-2</v>
      </c>
      <c r="G19" s="47">
        <v>9.4E-2</v>
      </c>
      <c r="I19" s="142" t="str">
        <f>IF($I$11=$A$59,"Administração Central da empresa ou consultoria - overhead","Seguro e Garantia")</f>
        <v>Seguro e Garantia</v>
      </c>
      <c r="J19" s="142"/>
      <c r="K19" s="142"/>
      <c r="L19" s="142"/>
      <c r="M19" s="54" t="str">
        <f>IF($I$11=$A$59,"K2","SG")</f>
        <v>SG</v>
      </c>
      <c r="N19" s="55">
        <v>8.0000000000000002E-3</v>
      </c>
      <c r="O19" s="56" t="s">
        <v>736</v>
      </c>
      <c r="P19" s="57">
        <f>VLOOKUP(CONCATENATE(I$11,"-",M19),$C$2:$G$49,3,FALSE)</f>
        <v>8.0000000000000002E-3</v>
      </c>
      <c r="Q19" s="57">
        <f>VLOOKUP(CONCATENATE(I$11,"-",M19),$C$2:$G$49,4,FALSE)</f>
        <v>8.0000000000000002E-3</v>
      </c>
      <c r="R19" s="57">
        <f>VLOOKUP(CONCATENATE(I$11,"-",M19),$C$2:$G$49,5,FALSE)</f>
        <v>0.01</v>
      </c>
      <c r="T19" s="152"/>
      <c r="U19" s="152"/>
      <c r="V19" s="53"/>
      <c r="W19" s="53"/>
      <c r="X19" s="53"/>
      <c r="Y19" s="53"/>
      <c r="Z19" s="53"/>
      <c r="AA19" s="53"/>
      <c r="AB19" s="53"/>
      <c r="AC19" s="53"/>
    </row>
    <row r="20" spans="1:31" ht="26.25" customHeight="1" x14ac:dyDescent="0.2">
      <c r="A20" s="42" t="str">
        <f>A19</f>
        <v>Construção de Redes de Abastecimento de Água, Coleta de Esgoto</v>
      </c>
      <c r="B20" s="51" t="s">
        <v>721</v>
      </c>
      <c r="C20" s="42" t="str">
        <f t="shared" si="0"/>
        <v>Construção de Redes de Abastecimento de Água, Coleta de Esgoto-BDI PAD</v>
      </c>
      <c r="E20" s="47">
        <v>0.20760000000000001</v>
      </c>
      <c r="F20" s="47">
        <v>0.24179999999999999</v>
      </c>
      <c r="G20" s="47">
        <v>0.26440000000000002</v>
      </c>
      <c r="I20" s="142" t="str">
        <f>IF($I$11=$A$59,"","Risco")</f>
        <v>Risco</v>
      </c>
      <c r="J20" s="142"/>
      <c r="K20" s="142"/>
      <c r="L20" s="142"/>
      <c r="M20" s="54" t="str">
        <f>IF($I$11=$A$59,"","R")</f>
        <v>R</v>
      </c>
      <c r="N20" s="55">
        <v>9.7000000000000003E-3</v>
      </c>
      <c r="O20" s="56" t="s">
        <v>736</v>
      </c>
      <c r="P20" s="57">
        <f>VLOOKUP(CONCATENATE(I$11,"-",M20),$C$2:$G$49,3,FALSE)</f>
        <v>9.7000000000000003E-3</v>
      </c>
      <c r="Q20" s="57">
        <f>VLOOKUP(CONCATENATE(I$11,"-",M20),$C$2:$G$49,4,FALSE)</f>
        <v>1.2699999999999999E-2</v>
      </c>
      <c r="R20" s="57">
        <f>VLOOKUP(CONCATENATE(I$11,"-",M20),$C$2:$G$49,5,FALSE)</f>
        <v>1.2699999999999999E-2</v>
      </c>
      <c r="T20" s="152"/>
      <c r="U20" s="152"/>
      <c r="V20" s="53"/>
      <c r="W20" s="53"/>
      <c r="X20" s="53"/>
      <c r="Y20" s="53"/>
      <c r="Z20" s="53"/>
      <c r="AA20" s="53"/>
      <c r="AB20" s="53"/>
      <c r="AC20" s="53"/>
    </row>
    <row r="21" spans="1:31" ht="26.25" customHeight="1" x14ac:dyDescent="0.2">
      <c r="A21" s="42" t="s">
        <v>737</v>
      </c>
      <c r="B21" s="46" t="s">
        <v>714</v>
      </c>
      <c r="C21" s="42" t="str">
        <f t="shared" si="0"/>
        <v>Construção e Manutenção de Estações e Redes de Distribuição de Energia Elétrica-AC</v>
      </c>
      <c r="E21" s="47">
        <v>5.2900000000000003E-2</v>
      </c>
      <c r="F21" s="47">
        <v>5.9200000000000003E-2</v>
      </c>
      <c r="G21" s="47">
        <v>7.9299999999999995E-2</v>
      </c>
      <c r="I21" s="142" t="str">
        <f>IF($I$11=$A$59,"","Despesas Financeiras")</f>
        <v>Despesas Financeiras</v>
      </c>
      <c r="J21" s="142"/>
      <c r="K21" s="142"/>
      <c r="L21" s="142"/>
      <c r="M21" s="54" t="str">
        <f>IF($I$11=$A$59,"","DF")</f>
        <v>DF</v>
      </c>
      <c r="N21" s="55">
        <v>5.8999999999999999E-3</v>
      </c>
      <c r="O21" s="56" t="s">
        <v>736</v>
      </c>
      <c r="P21" s="57">
        <f>VLOOKUP(CONCATENATE(I$11,"-",M21),$C$2:$G$49,3,FALSE)</f>
        <v>5.8999999999999999E-3</v>
      </c>
      <c r="Q21" s="57">
        <f>VLOOKUP(CONCATENATE(I$11,"-",M21),$C$2:$G$49,4,FALSE)</f>
        <v>1.23E-2</v>
      </c>
      <c r="R21" s="57">
        <f>VLOOKUP(CONCATENATE(I$11,"-",M21),$C$2:$G$49,5,FALSE)</f>
        <v>1.3899999999999999E-2</v>
      </c>
      <c r="T21" s="152"/>
      <c r="U21" s="152"/>
    </row>
    <row r="22" spans="1:31" ht="26.25" customHeight="1" x14ac:dyDescent="0.2">
      <c r="A22" s="42" t="str">
        <f>A21</f>
        <v>Construção e Manutenção de Estações e Redes de Distribuição de Energia Elétrica</v>
      </c>
      <c r="B22" s="46" t="s">
        <v>715</v>
      </c>
      <c r="C22" s="42" t="str">
        <f t="shared" si="0"/>
        <v>Construção e Manutenção de Estações e Redes de Distribuição de Energia Elétrica-SG</v>
      </c>
      <c r="E22" s="47">
        <v>2.5000000000000001E-3</v>
      </c>
      <c r="F22" s="47">
        <v>5.1000000000000004E-3</v>
      </c>
      <c r="G22" s="47">
        <v>5.6000000000000008E-3</v>
      </c>
      <c r="I22" s="142" t="str">
        <f>IF($I$11=$A$59,"Margem bruta da empresa de consultoria","Lucro")</f>
        <v>Lucro</v>
      </c>
      <c r="J22" s="142"/>
      <c r="K22" s="142"/>
      <c r="L22" s="142"/>
      <c r="M22" s="54" t="str">
        <f>IF($I$11=$A$59,"K3","L")</f>
        <v>L</v>
      </c>
      <c r="N22" s="55">
        <v>6.1600000000000002E-2</v>
      </c>
      <c r="O22" s="56" t="s">
        <v>736</v>
      </c>
      <c r="P22" s="57">
        <f>VLOOKUP(CONCATENATE(I$11,"-",M22),$C$2:$G$49,3,FALSE)</f>
        <v>6.1600000000000002E-2</v>
      </c>
      <c r="Q22" s="57">
        <f>VLOOKUP(CONCATENATE(I$11,"-",M22),$C$2:$G$49,4,FALSE)</f>
        <v>7.400000000000001E-2</v>
      </c>
      <c r="R22" s="57">
        <f>VLOOKUP(CONCATENATE(I$11,"-",M22),$C$2:$G$49,5,FALSE)</f>
        <v>8.9600000000000013E-2</v>
      </c>
      <c r="T22" s="152"/>
      <c r="U22" s="152"/>
    </row>
    <row r="23" spans="1:31" ht="26.25" customHeight="1" x14ac:dyDescent="0.2">
      <c r="A23" s="42" t="str">
        <f>A22</f>
        <v>Construção e Manutenção de Estações e Redes de Distribuição de Energia Elétrica</v>
      </c>
      <c r="B23" s="46" t="s">
        <v>716</v>
      </c>
      <c r="C23" s="42" t="str">
        <f t="shared" si="0"/>
        <v>Construção e Manutenção de Estações e Redes de Distribuição de Energia Elétrica-R</v>
      </c>
      <c r="E23" s="47">
        <v>0.01</v>
      </c>
      <c r="F23" s="47">
        <v>1.4800000000000001E-2</v>
      </c>
      <c r="G23" s="47">
        <v>1.9699999999999999E-2</v>
      </c>
      <c r="I23" s="153" t="s">
        <v>738</v>
      </c>
      <c r="J23" s="153"/>
      <c r="K23" s="153"/>
      <c r="L23" s="153"/>
      <c r="M23" s="54" t="s">
        <v>739</v>
      </c>
      <c r="N23" s="55">
        <v>3.6499999999999998E-2</v>
      </c>
      <c r="O23" s="56" t="s">
        <v>736</v>
      </c>
      <c r="P23" s="57">
        <v>3.6499999999999998E-2</v>
      </c>
      <c r="Q23" s="57">
        <v>3.6499999999999998E-2</v>
      </c>
      <c r="R23" s="57">
        <v>3.6499999999999998E-2</v>
      </c>
      <c r="T23" s="152"/>
      <c r="U23" s="152"/>
    </row>
    <row r="24" spans="1:31" ht="26.25" customHeight="1" x14ac:dyDescent="0.2">
      <c r="A24" s="42" t="str">
        <f>A23</f>
        <v>Construção e Manutenção de Estações e Redes de Distribuição de Energia Elétrica</v>
      </c>
      <c r="B24" s="46" t="s">
        <v>719</v>
      </c>
      <c r="C24" s="42" t="str">
        <f t="shared" si="0"/>
        <v>Construção e Manutenção de Estações e Redes de Distribuição de Energia Elétrica-DF</v>
      </c>
      <c r="E24" s="47">
        <v>1.01E-2</v>
      </c>
      <c r="F24" s="47">
        <v>1.0700000000000001E-2</v>
      </c>
      <c r="G24" s="47">
        <v>1.11E-2</v>
      </c>
      <c r="I24" s="142" t="s">
        <v>740</v>
      </c>
      <c r="J24" s="142"/>
      <c r="K24" s="142"/>
      <c r="L24" s="142"/>
      <c r="M24" s="54" t="s">
        <v>741</v>
      </c>
      <c r="N24" s="57">
        <f>Q14</f>
        <v>0.05</v>
      </c>
      <c r="O24" s="56" t="s">
        <v>736</v>
      </c>
      <c r="P24" s="57">
        <v>0</v>
      </c>
      <c r="Q24" s="57">
        <v>2.5000000000000001E-2</v>
      </c>
      <c r="R24" s="57">
        <v>0.05</v>
      </c>
      <c r="T24" s="152"/>
      <c r="U24" s="152"/>
    </row>
    <row r="25" spans="1:31" ht="26.25" customHeight="1" x14ac:dyDescent="0.2">
      <c r="A25" s="42" t="str">
        <f>A24</f>
        <v>Construção e Manutenção de Estações e Redes de Distribuição de Energia Elétrica</v>
      </c>
      <c r="B25" s="46" t="s">
        <v>720</v>
      </c>
      <c r="C25" s="42" t="str">
        <f t="shared" si="0"/>
        <v>Construção e Manutenção de Estações e Redes de Distribuição de Energia Elétrica-L</v>
      </c>
      <c r="E25" s="47">
        <v>0.08</v>
      </c>
      <c r="F25" s="47">
        <v>8.3100000000000007E-2</v>
      </c>
      <c r="G25" s="47">
        <v>9.5100000000000004E-2</v>
      </c>
      <c r="I25" s="142" t="s">
        <v>742</v>
      </c>
      <c r="J25" s="142"/>
      <c r="K25" s="142"/>
      <c r="L25" s="142"/>
      <c r="M25" s="54" t="s">
        <v>743</v>
      </c>
      <c r="N25" s="57">
        <f>IF(AND($I$11&lt;&gt;$A$58,Q11="Sim"),4.5%,0%)</f>
        <v>4.4999999999999998E-2</v>
      </c>
      <c r="O25" s="56" t="str">
        <f>IF(AND(N25&gt;=P25, N25&lt;=R25), "OK", "Não OK")</f>
        <v>OK</v>
      </c>
      <c r="P25" s="58">
        <v>0</v>
      </c>
      <c r="Q25" s="58">
        <v>4.4999999999999998E-2</v>
      </c>
      <c r="R25" s="58">
        <v>4.4999999999999998E-2</v>
      </c>
    </row>
    <row r="26" spans="1:31" ht="30.75" customHeight="1" x14ac:dyDescent="0.25">
      <c r="A26" s="42" t="str">
        <f>A25</f>
        <v>Construção e Manutenção de Estações e Redes de Distribuição de Energia Elétrica</v>
      </c>
      <c r="B26" s="51" t="s">
        <v>721</v>
      </c>
      <c r="C26" s="42" t="str">
        <f t="shared" si="0"/>
        <v>Construção e Manutenção de Estações e Redes de Distribuição de Energia Elétrica-BDI PAD</v>
      </c>
      <c r="E26" s="47">
        <v>0.24</v>
      </c>
      <c r="F26" s="47">
        <v>0.25840000000000002</v>
      </c>
      <c r="G26" s="47">
        <v>0.27860000000000001</v>
      </c>
      <c r="I26" s="142" t="s">
        <v>744</v>
      </c>
      <c r="J26" s="142"/>
      <c r="K26" s="142"/>
      <c r="L26" s="142"/>
      <c r="M26" s="59" t="s">
        <v>721</v>
      </c>
      <c r="N26" s="57">
        <f>IF($I$11=$A$58,0,ROUND((((1+N18+N19+N20)*(1+N21)*(1+N22)/(1-(N23+N24)))-1),4))</f>
        <v>0.22470000000000001</v>
      </c>
      <c r="O26" s="52" t="str">
        <f>IF(OR($I$11=$A$59,$I$11=$A$58,AND(N26&gt;=P26, N26&lt;=R26)), "OK", "FORA DO INTERVALO")</f>
        <v>OK</v>
      </c>
      <c r="P26" s="57">
        <f>IF($I$11=$A$58,0,VLOOKUP(CONCATENATE($I$11,"-",$M26),$C$2:$G$49,3,FALSE))</f>
        <v>0.2034</v>
      </c>
      <c r="Q26" s="57">
        <f>IF($I$11=$A$58,0,VLOOKUP(CONCATENATE($I$11,"-",$M26),$C$2:$G$49,4,FALSE))</f>
        <v>0.22120000000000001</v>
      </c>
      <c r="R26" s="57">
        <f>IF($I$11=$A$58,0,VLOOKUP(CONCATENATE($I$11,"-",$M26),$C$2:$G$49,5,FALSE))</f>
        <v>0.25</v>
      </c>
      <c r="T26" s="60"/>
      <c r="V26" s="53"/>
      <c r="W26" s="53"/>
      <c r="X26" s="53"/>
      <c r="Y26" s="53"/>
      <c r="Z26" s="53"/>
      <c r="AA26" s="53"/>
      <c r="AB26" s="53"/>
      <c r="AC26" s="53"/>
      <c r="AD26" s="53"/>
      <c r="AE26" s="53"/>
    </row>
    <row r="27" spans="1:31" ht="30" customHeight="1" x14ac:dyDescent="0.25">
      <c r="A27" s="42" t="s">
        <v>745</v>
      </c>
      <c r="B27" s="46" t="s">
        <v>714</v>
      </c>
      <c r="C27" s="42" t="str">
        <f t="shared" si="0"/>
        <v>Obras Portuárias, Marítimas e Fluviais-AC</v>
      </c>
      <c r="E27" s="47">
        <v>0.04</v>
      </c>
      <c r="F27" s="47">
        <v>5.5199999999999999E-2</v>
      </c>
      <c r="G27" s="47">
        <v>7.85E-2</v>
      </c>
      <c r="I27" s="143" t="s">
        <v>746</v>
      </c>
      <c r="J27" s="143"/>
      <c r="K27" s="143"/>
      <c r="L27" s="143"/>
      <c r="M27" s="61" t="s">
        <v>747</v>
      </c>
      <c r="N27" s="62">
        <f>IF($I$11=$A$58,0,ROUND((((1+N18+N19+N20)*(1+N21)*(1+N22)/(1-(N23+N24+N25)))-1),4))</f>
        <v>0.28820000000000001</v>
      </c>
      <c r="O27" s="63" t="str">
        <f>IF(Q11&lt;&gt;"Sim","",O26)</f>
        <v>OK</v>
      </c>
      <c r="P27" s="144"/>
      <c r="Q27" s="144"/>
      <c r="R27" s="144"/>
      <c r="T27" s="60"/>
      <c r="V27" s="64" t="b">
        <f>AND(COUNTA(N18:N23)=6,O26&lt;&gt;"ok",NOT(V29))</f>
        <v>0</v>
      </c>
      <c r="W27" s="42" t="s">
        <v>748</v>
      </c>
    </row>
    <row r="28" spans="1:31" ht="7.5" customHeight="1" x14ac:dyDescent="0.2">
      <c r="A28" s="42" t="str">
        <f>A27</f>
        <v>Obras Portuárias, Marítimas e Fluviais</v>
      </c>
      <c r="B28" s="46" t="s">
        <v>715</v>
      </c>
      <c r="C28" s="42" t="str">
        <f t="shared" si="0"/>
        <v>Obras Portuárias, Marítimas e Fluviais-SG</v>
      </c>
      <c r="E28" s="47">
        <v>8.1000000000000013E-3</v>
      </c>
      <c r="F28" s="47">
        <v>1.2199999999999999E-2</v>
      </c>
      <c r="G28" s="47">
        <v>1.9900000000000001E-2</v>
      </c>
      <c r="V28" s="64"/>
    </row>
    <row r="29" spans="1:31" ht="21.75" customHeight="1" x14ac:dyDescent="0.2">
      <c r="A29" s="42" t="str">
        <f>A28</f>
        <v>Obras Portuárias, Marítimas e Fluviais</v>
      </c>
      <c r="B29" s="46" t="s">
        <v>716</v>
      </c>
      <c r="C29" s="42" t="str">
        <f t="shared" si="0"/>
        <v>Obras Portuárias, Marítimas e Fluviais-R</v>
      </c>
      <c r="E29" s="47">
        <v>1.46E-2</v>
      </c>
      <c r="F29" s="47">
        <v>2.3199999999999998E-2</v>
      </c>
      <c r="G29" s="47">
        <v>3.1600000000000003E-2</v>
      </c>
      <c r="I29" s="65" t="str">
        <f>IF(V29,"X","")</f>
        <v/>
      </c>
      <c r="J29" s="145" t="s">
        <v>749</v>
      </c>
      <c r="K29" s="145"/>
      <c r="L29" s="145"/>
      <c r="M29" s="145"/>
      <c r="N29" s="145"/>
      <c r="O29" s="145"/>
      <c r="P29" s="145"/>
      <c r="Q29" s="145"/>
      <c r="R29" s="145"/>
      <c r="V29" s="64" t="b">
        <v>0</v>
      </c>
      <c r="W29" s="42" t="s">
        <v>750</v>
      </c>
    </row>
    <row r="30" spans="1:31" ht="7.5" customHeight="1" x14ac:dyDescent="0.2">
      <c r="B30" s="46"/>
      <c r="E30" s="47"/>
      <c r="F30" s="47"/>
      <c r="G30" s="47"/>
      <c r="V30" s="64"/>
    </row>
    <row r="31" spans="1:31" ht="18.75" customHeight="1" x14ac:dyDescent="0.2">
      <c r="B31" s="46"/>
      <c r="E31" s="47"/>
      <c r="F31" s="47"/>
      <c r="G31" s="47"/>
      <c r="I31" s="146" t="s">
        <v>751</v>
      </c>
      <c r="J31" s="146"/>
      <c r="K31" s="146"/>
      <c r="L31" s="146"/>
      <c r="M31" s="146"/>
      <c r="N31" s="146"/>
      <c r="O31" s="146"/>
      <c r="P31" s="146"/>
      <c r="Q31" s="146"/>
      <c r="R31" s="146"/>
    </row>
    <row r="32" spans="1:31" ht="30" customHeight="1" x14ac:dyDescent="0.25">
      <c r="A32" s="42" t="str">
        <f>A29</f>
        <v>Obras Portuárias, Marítimas e Fluviais</v>
      </c>
      <c r="B32" s="46" t="s">
        <v>719</v>
      </c>
      <c r="C32" s="42" t="str">
        <f t="shared" si="0"/>
        <v>Obras Portuárias, Marítimas e Fluviais-DF</v>
      </c>
      <c r="E32" s="47">
        <v>9.3999999999999986E-3</v>
      </c>
      <c r="F32" s="47">
        <v>1.0200000000000001E-2</v>
      </c>
      <c r="G32" s="47">
        <v>1.3300000000000001E-2</v>
      </c>
      <c r="I32" s="66"/>
      <c r="J32" s="66"/>
      <c r="K32" s="66"/>
      <c r="L32" s="147" t="str">
        <f>IF(Q11="Sim","BDI.DES =","BDI.PAD =")</f>
        <v>BDI.DES =</v>
      </c>
      <c r="M32" s="148" t="str">
        <f>IF($I$11=$A$59,"(1+K1+K2)*(1+K3)","(1+AC + S + R + G)*(1 + DF)*(1+L)")</f>
        <v>(1+AC + S + R + G)*(1 + DF)*(1+L)</v>
      </c>
      <c r="N32" s="148"/>
      <c r="O32" s="148"/>
      <c r="P32" s="149" t="s">
        <v>752</v>
      </c>
      <c r="Q32" s="66"/>
      <c r="R32" s="66"/>
    </row>
    <row r="33" spans="1:18" ht="27" customHeight="1" x14ac:dyDescent="0.2">
      <c r="A33" s="42" t="str">
        <f>A32</f>
        <v>Obras Portuárias, Marítimas e Fluviais</v>
      </c>
      <c r="B33" s="46" t="s">
        <v>720</v>
      </c>
      <c r="C33" s="42" t="str">
        <f t="shared" si="0"/>
        <v>Obras Portuárias, Marítimas e Fluviais-L</v>
      </c>
      <c r="E33" s="47">
        <v>7.1399999999999991E-2</v>
      </c>
      <c r="F33" s="47">
        <v>8.4000000000000005E-2</v>
      </c>
      <c r="G33" s="47">
        <v>0.1043</v>
      </c>
      <c r="I33" s="66"/>
      <c r="J33" s="66"/>
      <c r="K33" s="66"/>
      <c r="L33" s="147"/>
      <c r="M33" s="151" t="str">
        <f>IF(Q11="Sim","(1-CP-ISS-CRPB)","(1-CP-ISS)")</f>
        <v>(1-CP-ISS-CRPB)</v>
      </c>
      <c r="N33" s="151"/>
      <c r="O33" s="151"/>
      <c r="P33" s="150"/>
      <c r="Q33" s="66"/>
      <c r="R33" s="66"/>
    </row>
    <row r="34" spans="1:18" ht="7.5" customHeight="1" x14ac:dyDescent="0.2">
      <c r="A34" s="42" t="str">
        <f>A33</f>
        <v>Obras Portuárias, Marítimas e Fluviais</v>
      </c>
      <c r="B34" s="51" t="s">
        <v>721</v>
      </c>
      <c r="C34" s="42" t="str">
        <f t="shared" si="0"/>
        <v>Obras Portuárias, Marítimas e Fluviais-BDI PAD</v>
      </c>
      <c r="E34" s="47">
        <v>0.22800000000000001</v>
      </c>
      <c r="F34" s="47">
        <v>0.27479999999999999</v>
      </c>
      <c r="G34" s="47">
        <v>0.3095</v>
      </c>
      <c r="I34" s="67"/>
      <c r="J34" s="67"/>
      <c r="K34" s="67"/>
      <c r="L34" s="67"/>
      <c r="M34" s="67"/>
      <c r="N34" s="67"/>
      <c r="O34" s="67"/>
      <c r="P34" s="67"/>
      <c r="Q34" s="67"/>
      <c r="R34" s="67"/>
    </row>
    <row r="35" spans="1:18" ht="45" customHeight="1" x14ac:dyDescent="0.2">
      <c r="B35" s="51"/>
      <c r="E35" s="47"/>
      <c r="F35" s="47"/>
      <c r="G35" s="47"/>
      <c r="I35" s="141" t="str">
        <f>CONCATENATE("Declaro para os devidos fins que, conforme legislação tributária municipal, a base de cálculo para ",I11,", é de ",Q13*100,"%, com a respectiva alíquota de ",Q14*100,"%.")</f>
        <v>Declaro para os devidos fins que, conforme legislação tributária municipal, a base de cálculo para Construção e Reforma de Edifícios, é de 100%, com a respectiva alíquota de 5%.</v>
      </c>
      <c r="J35" s="141"/>
      <c r="K35" s="141"/>
      <c r="L35" s="141"/>
      <c r="M35" s="141"/>
      <c r="N35" s="141"/>
      <c r="O35" s="141"/>
      <c r="P35" s="141"/>
      <c r="Q35" s="141"/>
      <c r="R35" s="141"/>
    </row>
    <row r="36" spans="1:18" ht="11.25" customHeight="1" x14ac:dyDescent="0.2">
      <c r="B36" s="51"/>
      <c r="E36" s="47"/>
      <c r="F36" s="47"/>
      <c r="G36" s="47"/>
    </row>
    <row r="37" spans="1:18" ht="52.5" customHeight="1" x14ac:dyDescent="0.2">
      <c r="B37" s="51"/>
      <c r="E37" s="47"/>
      <c r="F37" s="47"/>
      <c r="G37" s="47"/>
      <c r="I37" s="141" t="str">
        <f>CONCATENATE("Declaro para os devidos fins que o regime de Contribuição Previdenciária sobre a Receita Bruta adotado para elaboração do orçamento foi ",IF(Q11="Sim","COM","SEM")," Desoneração, e que esta é a alternativa mais adequada para a Administração Pública.")</f>
        <v>Declaro para os devidos fins que o regime de Contribuição Previdenciária sobre a Receita Bruta adotado para elaboração do orçamento foi COM Desoneração, e que esta é a alternativa mais adequada para a Administração Pública.</v>
      </c>
      <c r="J37" s="141"/>
      <c r="K37" s="141"/>
      <c r="L37" s="141"/>
      <c r="M37" s="141"/>
      <c r="N37" s="141"/>
      <c r="O37" s="141"/>
      <c r="P37" s="141"/>
      <c r="Q37" s="141"/>
      <c r="R37" s="141"/>
    </row>
    <row r="38" spans="1:18" ht="18" customHeight="1" x14ac:dyDescent="0.2">
      <c r="A38" s="42" t="s">
        <v>753</v>
      </c>
      <c r="B38" s="46" t="s">
        <v>714</v>
      </c>
      <c r="C38" s="42" t="str">
        <f t="shared" si="0"/>
        <v>Fornecimento de Materiais e Equipamentos (aquisição indireta - em conjunto com licitação de obras)-AC</v>
      </c>
      <c r="E38" s="47">
        <v>1.4999999999999999E-2</v>
      </c>
      <c r="F38" s="47">
        <v>3.4500000000000003E-2</v>
      </c>
      <c r="G38" s="47">
        <v>4.4900000000000002E-2</v>
      </c>
    </row>
    <row r="39" spans="1:18" x14ac:dyDescent="0.2">
      <c r="A39" s="42" t="str">
        <f>A38</f>
        <v>Fornecimento de Materiais e Equipamentos (aquisição indireta - em conjunto com licitação de obras)</v>
      </c>
      <c r="B39" s="46" t="s">
        <v>715</v>
      </c>
      <c r="C39" s="42" t="str">
        <f t="shared" si="0"/>
        <v>Fornecimento de Materiais e Equipamentos (aquisição indireta - em conjunto com licitação de obras)-SG</v>
      </c>
      <c r="E39" s="47">
        <v>3.0000000000000001E-3</v>
      </c>
      <c r="F39" s="47">
        <v>4.7999999999999996E-3</v>
      </c>
      <c r="G39" s="47">
        <v>8.199999999999999E-3</v>
      </c>
      <c r="I39" s="42" t="s">
        <v>754</v>
      </c>
    </row>
    <row r="40" spans="1:18" x14ac:dyDescent="0.2">
      <c r="A40" s="42" t="str">
        <f>A39</f>
        <v>Fornecimento de Materiais e Equipamentos (aquisição indireta - em conjunto com licitação de obras)</v>
      </c>
      <c r="B40" s="46" t="s">
        <v>716</v>
      </c>
      <c r="C40" s="42" t="str">
        <f t="shared" si="0"/>
        <v>Fornecimento de Materiais e Equipamentos (aquisição indireta - em conjunto com licitação de obras)-R</v>
      </c>
      <c r="E40" s="47">
        <v>5.6000000000000008E-3</v>
      </c>
      <c r="F40" s="47">
        <v>8.5000000000000006E-3</v>
      </c>
      <c r="G40" s="47">
        <v>8.8999999999999999E-3</v>
      </c>
      <c r="I40" s="134"/>
      <c r="J40" s="135"/>
      <c r="K40" s="135"/>
      <c r="L40" s="135"/>
      <c r="M40" s="135"/>
      <c r="N40" s="135"/>
      <c r="O40" s="135"/>
      <c r="P40" s="135"/>
      <c r="Q40" s="135"/>
      <c r="R40" s="136"/>
    </row>
    <row r="41" spans="1:18" ht="16.5" customHeight="1" x14ac:dyDescent="0.2">
      <c r="A41" s="42" t="str">
        <f>A40</f>
        <v>Fornecimento de Materiais e Equipamentos (aquisição indireta - em conjunto com licitação de obras)</v>
      </c>
      <c r="B41" s="46" t="s">
        <v>719</v>
      </c>
      <c r="C41" s="42" t="str">
        <f t="shared" si="0"/>
        <v>Fornecimento de Materiais e Equipamentos (aquisição indireta - em conjunto com licitação de obras)-DF</v>
      </c>
      <c r="E41" s="47">
        <v>8.5000000000000006E-3</v>
      </c>
      <c r="F41" s="47">
        <v>8.5000000000000006E-3</v>
      </c>
      <c r="G41" s="47">
        <v>1.11E-2</v>
      </c>
    </row>
    <row r="42" spans="1:18" x14ac:dyDescent="0.2">
      <c r="A42" s="42" t="str">
        <f>A41</f>
        <v>Fornecimento de Materiais e Equipamentos (aquisição indireta - em conjunto com licitação de obras)</v>
      </c>
      <c r="B42" s="46" t="s">
        <v>720</v>
      </c>
      <c r="C42" s="42" t="str">
        <f t="shared" si="0"/>
        <v>Fornecimento de Materiais e Equipamentos (aquisição indireta - em conjunto com licitação de obras)-L</v>
      </c>
      <c r="E42" s="47">
        <v>3.5000000000000003E-2</v>
      </c>
      <c r="F42" s="47">
        <v>5.1100000000000007E-2</v>
      </c>
      <c r="G42" s="47">
        <v>6.2199999999999998E-2</v>
      </c>
      <c r="I42" s="137"/>
      <c r="J42" s="137"/>
      <c r="K42" s="137"/>
      <c r="L42" s="137"/>
      <c r="O42" s="138"/>
      <c r="P42" s="138"/>
      <c r="Q42" s="138"/>
      <c r="R42" s="138"/>
    </row>
    <row r="43" spans="1:18" ht="15" customHeight="1" x14ac:dyDescent="0.2">
      <c r="A43" s="42" t="str">
        <f>A42</f>
        <v>Fornecimento de Materiais e Equipamentos (aquisição indireta - em conjunto com licitação de obras)</v>
      </c>
      <c r="B43" s="51" t="s">
        <v>721</v>
      </c>
      <c r="C43" s="42" t="str">
        <f t="shared" si="0"/>
        <v>Fornecimento de Materiais e Equipamentos (aquisição indireta - em conjunto com licitação de obras)-BDI PAD</v>
      </c>
      <c r="E43" s="47">
        <v>0.111</v>
      </c>
      <c r="F43" s="47">
        <v>0.14019999999999999</v>
      </c>
      <c r="G43" s="47">
        <v>0.16800000000000001</v>
      </c>
      <c r="I43" s="139" t="s">
        <v>755</v>
      </c>
      <c r="J43" s="139"/>
      <c r="K43" s="139"/>
      <c r="L43" s="139"/>
      <c r="N43" s="68"/>
      <c r="O43" s="69" t="s">
        <v>756</v>
      </c>
      <c r="P43" s="70"/>
      <c r="Q43" s="70"/>
      <c r="R43" s="70"/>
    </row>
    <row r="44" spans="1:18" x14ac:dyDescent="0.2">
      <c r="A44" s="42" t="s">
        <v>757</v>
      </c>
      <c r="B44" s="46" t="s">
        <v>758</v>
      </c>
      <c r="C44" s="42" t="str">
        <f t="shared" si="0"/>
        <v>Estudos e Projetos, Planos e Gerenciamento e outros correlatos-K1</v>
      </c>
      <c r="E44" s="47" t="s">
        <v>736</v>
      </c>
      <c r="F44" s="47" t="s">
        <v>736</v>
      </c>
      <c r="G44" s="47" t="s">
        <v>736</v>
      </c>
    </row>
    <row r="45" spans="1:18" ht="30" customHeight="1" x14ac:dyDescent="0.2">
      <c r="A45" s="42" t="str">
        <f>A44</f>
        <v>Estudos e Projetos, Planos e Gerenciamento e outros correlatos</v>
      </c>
      <c r="B45" s="46" t="s">
        <v>759</v>
      </c>
      <c r="C45" s="42" t="str">
        <f t="shared" si="0"/>
        <v>Estudos e Projetos, Planos e Gerenciamento e outros correlatos-K2</v>
      </c>
      <c r="E45" s="47" t="s">
        <v>736</v>
      </c>
      <c r="F45" s="47">
        <v>0.2</v>
      </c>
      <c r="G45" s="47" t="s">
        <v>736</v>
      </c>
      <c r="I45" s="140"/>
      <c r="J45" s="140"/>
      <c r="K45" s="140"/>
      <c r="L45" s="140"/>
      <c r="M45" s="71"/>
      <c r="N45" s="71"/>
      <c r="O45" s="140"/>
      <c r="P45" s="140"/>
      <c r="Q45" s="140"/>
      <c r="R45" s="140"/>
    </row>
    <row r="46" spans="1:18" x14ac:dyDescent="0.2">
      <c r="A46" s="42" t="str">
        <f>A45</f>
        <v>Estudos e Projetos, Planos e Gerenciamento e outros correlatos</v>
      </c>
      <c r="B46" s="46" t="s">
        <v>760</v>
      </c>
      <c r="C46" s="42" t="str">
        <f t="shared" si="0"/>
        <v>Estudos e Projetos, Planos e Gerenciamento e outros correlatos-</v>
      </c>
      <c r="E46" s="47" t="s">
        <v>736</v>
      </c>
      <c r="F46" s="47" t="s">
        <v>736</v>
      </c>
      <c r="G46" s="47" t="s">
        <v>736</v>
      </c>
      <c r="I46" s="132" t="s">
        <v>761</v>
      </c>
      <c r="J46" s="132"/>
      <c r="K46" s="132"/>
      <c r="L46" s="132"/>
      <c r="O46" s="132" t="s">
        <v>762</v>
      </c>
      <c r="P46" s="132"/>
      <c r="Q46" s="132"/>
      <c r="R46" s="132"/>
    </row>
    <row r="47" spans="1:18" ht="14.25" x14ac:dyDescent="0.2">
      <c r="A47" s="42" t="str">
        <f>A46</f>
        <v>Estudos e Projetos, Planos e Gerenciamento e outros correlatos</v>
      </c>
      <c r="B47" s="46" t="s">
        <v>760</v>
      </c>
      <c r="C47" s="42" t="str">
        <f t="shared" si="0"/>
        <v>Estudos e Projetos, Planos e Gerenciamento e outros correlatos-</v>
      </c>
      <c r="E47" s="47" t="s">
        <v>736</v>
      </c>
      <c r="F47" s="47" t="s">
        <v>736</v>
      </c>
      <c r="G47" s="47" t="s">
        <v>736</v>
      </c>
      <c r="I47" s="48" t="s">
        <v>763</v>
      </c>
      <c r="J47" s="131"/>
      <c r="K47" s="131"/>
      <c r="L47" s="131"/>
      <c r="M47" s="71"/>
      <c r="N47" s="71"/>
      <c r="O47" s="48" t="s">
        <v>763</v>
      </c>
      <c r="P47" s="133"/>
      <c r="Q47" s="133"/>
      <c r="R47" s="133"/>
    </row>
    <row r="48" spans="1:18" ht="14.25" x14ac:dyDescent="0.2">
      <c r="A48" s="42" t="str">
        <f>A47</f>
        <v>Estudos e Projetos, Planos e Gerenciamento e outros correlatos</v>
      </c>
      <c r="B48" s="46" t="s">
        <v>764</v>
      </c>
      <c r="C48" s="42" t="str">
        <f t="shared" si="0"/>
        <v>Estudos e Projetos, Planos e Gerenciamento e outros correlatos-K3</v>
      </c>
      <c r="E48" s="47" t="s">
        <v>736</v>
      </c>
      <c r="F48" s="47">
        <v>0.12</v>
      </c>
      <c r="G48" s="47" t="s">
        <v>736</v>
      </c>
      <c r="I48" s="48" t="s">
        <v>765</v>
      </c>
      <c r="J48" s="131" t="str">
        <f>[7]DADOS!B55</f>
        <v>Engenheiro Civil</v>
      </c>
      <c r="K48" s="131"/>
      <c r="L48" s="131"/>
      <c r="M48" s="71"/>
      <c r="N48" s="71"/>
      <c r="O48" s="48" t="s">
        <v>766</v>
      </c>
      <c r="P48" s="133"/>
      <c r="Q48" s="133"/>
      <c r="R48" s="133"/>
    </row>
    <row r="49" spans="1:18" ht="14.25" x14ac:dyDescent="0.2">
      <c r="A49" s="42" t="str">
        <f>A48</f>
        <v>Estudos e Projetos, Planos e Gerenciamento e outros correlatos</v>
      </c>
      <c r="B49" s="51" t="s">
        <v>721</v>
      </c>
      <c r="C49" s="42" t="str">
        <f t="shared" si="0"/>
        <v>Estudos e Projetos, Planos e Gerenciamento e outros correlatos-BDI PAD</v>
      </c>
      <c r="E49" s="47" t="s">
        <v>736</v>
      </c>
      <c r="F49" s="47" t="s">
        <v>736</v>
      </c>
      <c r="G49" s="47" t="s">
        <v>736</v>
      </c>
      <c r="I49" s="48" t="str">
        <f>[7]DADOS!A56</f>
        <v>CREA/CAU:</v>
      </c>
      <c r="J49" s="131"/>
      <c r="K49" s="131"/>
      <c r="L49" s="131"/>
      <c r="M49" s="71"/>
      <c r="N49" s="71"/>
      <c r="O49" s="71"/>
      <c r="P49" s="71"/>
      <c r="Q49" s="71"/>
      <c r="R49" s="71"/>
    </row>
    <row r="50" spans="1:18" x14ac:dyDescent="0.2">
      <c r="I50" s="48" t="str">
        <f>[7]DADOS!A57</f>
        <v>ART/RRT:</v>
      </c>
      <c r="J50" s="131"/>
      <c r="K50" s="131"/>
      <c r="L50" s="131"/>
    </row>
    <row r="51" spans="1:18" x14ac:dyDescent="0.2"/>
    <row r="52" spans="1:18" hidden="1" x14ac:dyDescent="0.2">
      <c r="A52" s="42" t="s">
        <v>713</v>
      </c>
    </row>
    <row r="53" spans="1:18" hidden="1" x14ac:dyDescent="0.2">
      <c r="A53" s="42" t="s">
        <v>723</v>
      </c>
    </row>
    <row r="54" spans="1:18" hidden="1" x14ac:dyDescent="0.2">
      <c r="A54" s="42" t="s">
        <v>727</v>
      </c>
    </row>
    <row r="55" spans="1:18" hidden="1" x14ac:dyDescent="0.2">
      <c r="A55" s="42" t="s">
        <v>737</v>
      </c>
    </row>
    <row r="56" spans="1:18" hidden="1" x14ac:dyDescent="0.2">
      <c r="A56" s="42" t="s">
        <v>745</v>
      </c>
    </row>
    <row r="57" spans="1:18" hidden="1" x14ac:dyDescent="0.2">
      <c r="A57" s="42" t="s">
        <v>753</v>
      </c>
    </row>
    <row r="58" spans="1:18" hidden="1" x14ac:dyDescent="0.2">
      <c r="A58" s="42" t="s">
        <v>767</v>
      </c>
    </row>
    <row r="59" spans="1:18" hidden="1" x14ac:dyDescent="0.2">
      <c r="A59" s="42" t="s">
        <v>757</v>
      </c>
    </row>
    <row r="60" spans="1:18" ht="14.25" hidden="1" x14ac:dyDescent="0.2">
      <c r="A60" s="72"/>
      <c r="B60" s="71"/>
      <c r="C60" s="71"/>
      <c r="D60" s="71"/>
      <c r="E60" s="71"/>
      <c r="F60" s="71"/>
      <c r="G60" s="71"/>
    </row>
  </sheetData>
  <mergeCells count="55">
    <mergeCell ref="I8:R8"/>
    <mergeCell ref="I4:J4"/>
    <mergeCell ref="K4:R4"/>
    <mergeCell ref="I5:J5"/>
    <mergeCell ref="K5:R5"/>
    <mergeCell ref="I7:R7"/>
    <mergeCell ref="I10:P10"/>
    <mergeCell ref="Q10:R10"/>
    <mergeCell ref="I11:P11"/>
    <mergeCell ref="Q11:R11"/>
    <mergeCell ref="I13:P13"/>
    <mergeCell ref="Q13:R13"/>
    <mergeCell ref="I14:P14"/>
    <mergeCell ref="Q14:R14"/>
    <mergeCell ref="I16:L17"/>
    <mergeCell ref="M16:M17"/>
    <mergeCell ref="N16:N17"/>
    <mergeCell ref="O16:O17"/>
    <mergeCell ref="P16:P17"/>
    <mergeCell ref="Q16:Q17"/>
    <mergeCell ref="R16:R17"/>
    <mergeCell ref="T16:U24"/>
    <mergeCell ref="I18:L18"/>
    <mergeCell ref="I19:L19"/>
    <mergeCell ref="I20:L20"/>
    <mergeCell ref="I21:L21"/>
    <mergeCell ref="I22:L22"/>
    <mergeCell ref="I23:L23"/>
    <mergeCell ref="I24:L24"/>
    <mergeCell ref="I37:R37"/>
    <mergeCell ref="I25:L25"/>
    <mergeCell ref="I26:L26"/>
    <mergeCell ref="I27:L27"/>
    <mergeCell ref="P27:R27"/>
    <mergeCell ref="J29:R29"/>
    <mergeCell ref="I31:R31"/>
    <mergeCell ref="L32:L33"/>
    <mergeCell ref="M32:O32"/>
    <mergeCell ref="P32:P33"/>
    <mergeCell ref="M33:O33"/>
    <mergeCell ref="I35:R35"/>
    <mergeCell ref="I40:R40"/>
    <mergeCell ref="I42:L42"/>
    <mergeCell ref="O42:R42"/>
    <mergeCell ref="I43:L43"/>
    <mergeCell ref="I45:L45"/>
    <mergeCell ref="O45:R45"/>
    <mergeCell ref="J49:L49"/>
    <mergeCell ref="J50:L50"/>
    <mergeCell ref="I46:L46"/>
    <mergeCell ref="O46:R46"/>
    <mergeCell ref="J47:L47"/>
    <mergeCell ref="P47:R47"/>
    <mergeCell ref="J48:L48"/>
    <mergeCell ref="P48:R48"/>
  </mergeCells>
  <conditionalFormatting sqref="I26:N26">
    <cfRule type="expression" dxfId="6" priority="5" stopIfTrue="1">
      <formula>$Q$11="Não"</formula>
    </cfRule>
  </conditionalFormatting>
  <conditionalFormatting sqref="I27:N27">
    <cfRule type="expression" dxfId="5" priority="4" stopIfTrue="1">
      <formula>$Q$11="sim"</formula>
    </cfRule>
  </conditionalFormatting>
  <conditionalFormatting sqref="I29:R29">
    <cfRule type="expression" dxfId="4" priority="2" stopIfTrue="1">
      <formula>AND(NOT($V$27),NOT($V$29))</formula>
    </cfRule>
  </conditionalFormatting>
  <conditionalFormatting sqref="O18:O27">
    <cfRule type="expression" dxfId="3" priority="6" stopIfTrue="1">
      <formula>AND(O18&lt;&gt;"OK",O18&lt;&gt;"-",O18&lt;&gt;"")</formula>
    </cfRule>
    <cfRule type="cellIs" dxfId="2" priority="7" stopIfTrue="1" operator="equal">
      <formula>"OK"</formula>
    </cfRule>
  </conditionalFormatting>
  <conditionalFormatting sqref="O42">
    <cfRule type="expression" dxfId="1" priority="3" stopIfTrue="1">
      <formula>$O$42=""</formula>
    </cfRule>
  </conditionalFormatting>
  <conditionalFormatting sqref="P18:R26">
    <cfRule type="expression" dxfId="0" priority="1" stopIfTrue="1">
      <formula>$I$11=$A$58</formula>
    </cfRule>
  </conditionalFormatting>
  <dataValidations count="6">
    <dataValidation type="list" allowBlank="1" showInputMessage="1" showErrorMessage="1" sqref="I11:P11 JE11:JL11 TA11:TH11 ACW11:ADD11 AMS11:AMZ11 AWO11:AWV11 BGK11:BGR11 BQG11:BQN11 CAC11:CAJ11 CJY11:CKF11 CTU11:CUB11 DDQ11:DDX11 DNM11:DNT11 DXI11:DXP11 EHE11:EHL11 ERA11:ERH11 FAW11:FBD11 FKS11:FKZ11 FUO11:FUV11 GEK11:GER11 GOG11:GON11 GYC11:GYJ11 HHY11:HIF11 HRU11:HSB11 IBQ11:IBX11 ILM11:ILT11 IVI11:IVP11 JFE11:JFL11 JPA11:JPH11 JYW11:JZD11 KIS11:KIZ11 KSO11:KSV11 LCK11:LCR11 LMG11:LMN11 LWC11:LWJ11 MFY11:MGF11 MPU11:MQB11 MZQ11:MZX11 NJM11:NJT11 NTI11:NTP11 ODE11:ODL11 ONA11:ONH11 OWW11:OXD11 PGS11:PGZ11 PQO11:PQV11 QAK11:QAR11 QKG11:QKN11 QUC11:QUJ11 RDY11:REF11 RNU11:ROB11 RXQ11:RXX11 SHM11:SHT11 SRI11:SRP11 TBE11:TBL11 TLA11:TLH11 TUW11:TVD11 UES11:UEZ11 UOO11:UOV11 UYK11:UYR11 VIG11:VIN11 VSC11:VSJ11 WBY11:WCF11 WLU11:WMB11 WVQ11:WVX11 I65547:P65547 JE65547:JL65547 TA65547:TH65547 ACW65547:ADD65547 AMS65547:AMZ65547 AWO65547:AWV65547 BGK65547:BGR65547 BQG65547:BQN65547 CAC65547:CAJ65547 CJY65547:CKF65547 CTU65547:CUB65547 DDQ65547:DDX65547 DNM65547:DNT65547 DXI65547:DXP65547 EHE65547:EHL65547 ERA65547:ERH65547 FAW65547:FBD65547 FKS65547:FKZ65547 FUO65547:FUV65547 GEK65547:GER65547 GOG65547:GON65547 GYC65547:GYJ65547 HHY65547:HIF65547 HRU65547:HSB65547 IBQ65547:IBX65547 ILM65547:ILT65547 IVI65547:IVP65547 JFE65547:JFL65547 JPA65547:JPH65547 JYW65547:JZD65547 KIS65547:KIZ65547 KSO65547:KSV65547 LCK65547:LCR65547 LMG65547:LMN65547 LWC65547:LWJ65547 MFY65547:MGF65547 MPU65547:MQB65547 MZQ65547:MZX65547 NJM65547:NJT65547 NTI65547:NTP65547 ODE65547:ODL65547 ONA65547:ONH65547 OWW65547:OXD65547 PGS65547:PGZ65547 PQO65547:PQV65547 QAK65547:QAR65547 QKG65547:QKN65547 QUC65547:QUJ65547 RDY65547:REF65547 RNU65547:ROB65547 RXQ65547:RXX65547 SHM65547:SHT65547 SRI65547:SRP65547 TBE65547:TBL65547 TLA65547:TLH65547 TUW65547:TVD65547 UES65547:UEZ65547 UOO65547:UOV65547 UYK65547:UYR65547 VIG65547:VIN65547 VSC65547:VSJ65547 WBY65547:WCF65547 WLU65547:WMB65547 WVQ65547:WVX65547 I131083:P131083 JE131083:JL131083 TA131083:TH131083 ACW131083:ADD131083 AMS131083:AMZ131083 AWO131083:AWV131083 BGK131083:BGR131083 BQG131083:BQN131083 CAC131083:CAJ131083 CJY131083:CKF131083 CTU131083:CUB131083 DDQ131083:DDX131083 DNM131083:DNT131083 DXI131083:DXP131083 EHE131083:EHL131083 ERA131083:ERH131083 FAW131083:FBD131083 FKS131083:FKZ131083 FUO131083:FUV131083 GEK131083:GER131083 GOG131083:GON131083 GYC131083:GYJ131083 HHY131083:HIF131083 HRU131083:HSB131083 IBQ131083:IBX131083 ILM131083:ILT131083 IVI131083:IVP131083 JFE131083:JFL131083 JPA131083:JPH131083 JYW131083:JZD131083 KIS131083:KIZ131083 KSO131083:KSV131083 LCK131083:LCR131083 LMG131083:LMN131083 LWC131083:LWJ131083 MFY131083:MGF131083 MPU131083:MQB131083 MZQ131083:MZX131083 NJM131083:NJT131083 NTI131083:NTP131083 ODE131083:ODL131083 ONA131083:ONH131083 OWW131083:OXD131083 PGS131083:PGZ131083 PQO131083:PQV131083 QAK131083:QAR131083 QKG131083:QKN131083 QUC131083:QUJ131083 RDY131083:REF131083 RNU131083:ROB131083 RXQ131083:RXX131083 SHM131083:SHT131083 SRI131083:SRP131083 TBE131083:TBL131083 TLA131083:TLH131083 TUW131083:TVD131083 UES131083:UEZ131083 UOO131083:UOV131083 UYK131083:UYR131083 VIG131083:VIN131083 VSC131083:VSJ131083 WBY131083:WCF131083 WLU131083:WMB131083 WVQ131083:WVX131083 I196619:P196619 JE196619:JL196619 TA196619:TH196619 ACW196619:ADD196619 AMS196619:AMZ196619 AWO196619:AWV196619 BGK196619:BGR196619 BQG196619:BQN196619 CAC196619:CAJ196619 CJY196619:CKF196619 CTU196619:CUB196619 DDQ196619:DDX196619 DNM196619:DNT196619 DXI196619:DXP196619 EHE196619:EHL196619 ERA196619:ERH196619 FAW196619:FBD196619 FKS196619:FKZ196619 FUO196619:FUV196619 GEK196619:GER196619 GOG196619:GON196619 GYC196619:GYJ196619 HHY196619:HIF196619 HRU196619:HSB196619 IBQ196619:IBX196619 ILM196619:ILT196619 IVI196619:IVP196619 JFE196619:JFL196619 JPA196619:JPH196619 JYW196619:JZD196619 KIS196619:KIZ196619 KSO196619:KSV196619 LCK196619:LCR196619 LMG196619:LMN196619 LWC196619:LWJ196619 MFY196619:MGF196619 MPU196619:MQB196619 MZQ196619:MZX196619 NJM196619:NJT196619 NTI196619:NTP196619 ODE196619:ODL196619 ONA196619:ONH196619 OWW196619:OXD196619 PGS196619:PGZ196619 PQO196619:PQV196619 QAK196619:QAR196619 QKG196619:QKN196619 QUC196619:QUJ196619 RDY196619:REF196619 RNU196619:ROB196619 RXQ196619:RXX196619 SHM196619:SHT196619 SRI196619:SRP196619 TBE196619:TBL196619 TLA196619:TLH196619 TUW196619:TVD196619 UES196619:UEZ196619 UOO196619:UOV196619 UYK196619:UYR196619 VIG196619:VIN196619 VSC196619:VSJ196619 WBY196619:WCF196619 WLU196619:WMB196619 WVQ196619:WVX196619 I262155:P262155 JE262155:JL262155 TA262155:TH262155 ACW262155:ADD262155 AMS262155:AMZ262155 AWO262155:AWV262155 BGK262155:BGR262155 BQG262155:BQN262155 CAC262155:CAJ262155 CJY262155:CKF262155 CTU262155:CUB262155 DDQ262155:DDX262155 DNM262155:DNT262155 DXI262155:DXP262155 EHE262155:EHL262155 ERA262155:ERH262155 FAW262155:FBD262155 FKS262155:FKZ262155 FUO262155:FUV262155 GEK262155:GER262155 GOG262155:GON262155 GYC262155:GYJ262155 HHY262155:HIF262155 HRU262155:HSB262155 IBQ262155:IBX262155 ILM262155:ILT262155 IVI262155:IVP262155 JFE262155:JFL262155 JPA262155:JPH262155 JYW262155:JZD262155 KIS262155:KIZ262155 KSO262155:KSV262155 LCK262155:LCR262155 LMG262155:LMN262155 LWC262155:LWJ262155 MFY262155:MGF262155 MPU262155:MQB262155 MZQ262155:MZX262155 NJM262155:NJT262155 NTI262155:NTP262155 ODE262155:ODL262155 ONA262155:ONH262155 OWW262155:OXD262155 PGS262155:PGZ262155 PQO262155:PQV262155 QAK262155:QAR262155 QKG262155:QKN262155 QUC262155:QUJ262155 RDY262155:REF262155 RNU262155:ROB262155 RXQ262155:RXX262155 SHM262155:SHT262155 SRI262155:SRP262155 TBE262155:TBL262155 TLA262155:TLH262155 TUW262155:TVD262155 UES262155:UEZ262155 UOO262155:UOV262155 UYK262155:UYR262155 VIG262155:VIN262155 VSC262155:VSJ262155 WBY262155:WCF262155 WLU262155:WMB262155 WVQ262155:WVX262155 I327691:P327691 JE327691:JL327691 TA327691:TH327691 ACW327691:ADD327691 AMS327691:AMZ327691 AWO327691:AWV327691 BGK327691:BGR327691 BQG327691:BQN327691 CAC327691:CAJ327691 CJY327691:CKF327691 CTU327691:CUB327691 DDQ327691:DDX327691 DNM327691:DNT327691 DXI327691:DXP327691 EHE327691:EHL327691 ERA327691:ERH327691 FAW327691:FBD327691 FKS327691:FKZ327691 FUO327691:FUV327691 GEK327691:GER327691 GOG327691:GON327691 GYC327691:GYJ327691 HHY327691:HIF327691 HRU327691:HSB327691 IBQ327691:IBX327691 ILM327691:ILT327691 IVI327691:IVP327691 JFE327691:JFL327691 JPA327691:JPH327691 JYW327691:JZD327691 KIS327691:KIZ327691 KSO327691:KSV327691 LCK327691:LCR327691 LMG327691:LMN327691 LWC327691:LWJ327691 MFY327691:MGF327691 MPU327691:MQB327691 MZQ327691:MZX327691 NJM327691:NJT327691 NTI327691:NTP327691 ODE327691:ODL327691 ONA327691:ONH327691 OWW327691:OXD327691 PGS327691:PGZ327691 PQO327691:PQV327691 QAK327691:QAR327691 QKG327691:QKN327691 QUC327691:QUJ327691 RDY327691:REF327691 RNU327691:ROB327691 RXQ327691:RXX327691 SHM327691:SHT327691 SRI327691:SRP327691 TBE327691:TBL327691 TLA327691:TLH327691 TUW327691:TVD327691 UES327691:UEZ327691 UOO327691:UOV327691 UYK327691:UYR327691 VIG327691:VIN327691 VSC327691:VSJ327691 WBY327691:WCF327691 WLU327691:WMB327691 WVQ327691:WVX327691 I393227:P393227 JE393227:JL393227 TA393227:TH393227 ACW393227:ADD393227 AMS393227:AMZ393227 AWO393227:AWV393227 BGK393227:BGR393227 BQG393227:BQN393227 CAC393227:CAJ393227 CJY393227:CKF393227 CTU393227:CUB393227 DDQ393227:DDX393227 DNM393227:DNT393227 DXI393227:DXP393227 EHE393227:EHL393227 ERA393227:ERH393227 FAW393227:FBD393227 FKS393227:FKZ393227 FUO393227:FUV393227 GEK393227:GER393227 GOG393227:GON393227 GYC393227:GYJ393227 HHY393227:HIF393227 HRU393227:HSB393227 IBQ393227:IBX393227 ILM393227:ILT393227 IVI393227:IVP393227 JFE393227:JFL393227 JPA393227:JPH393227 JYW393227:JZD393227 KIS393227:KIZ393227 KSO393227:KSV393227 LCK393227:LCR393227 LMG393227:LMN393227 LWC393227:LWJ393227 MFY393227:MGF393227 MPU393227:MQB393227 MZQ393227:MZX393227 NJM393227:NJT393227 NTI393227:NTP393227 ODE393227:ODL393227 ONA393227:ONH393227 OWW393227:OXD393227 PGS393227:PGZ393227 PQO393227:PQV393227 QAK393227:QAR393227 QKG393227:QKN393227 QUC393227:QUJ393227 RDY393227:REF393227 RNU393227:ROB393227 RXQ393227:RXX393227 SHM393227:SHT393227 SRI393227:SRP393227 TBE393227:TBL393227 TLA393227:TLH393227 TUW393227:TVD393227 UES393227:UEZ393227 UOO393227:UOV393227 UYK393227:UYR393227 VIG393227:VIN393227 VSC393227:VSJ393227 WBY393227:WCF393227 WLU393227:WMB393227 WVQ393227:WVX393227 I458763:P458763 JE458763:JL458763 TA458763:TH458763 ACW458763:ADD458763 AMS458763:AMZ458763 AWO458763:AWV458763 BGK458763:BGR458763 BQG458763:BQN458763 CAC458763:CAJ458763 CJY458763:CKF458763 CTU458763:CUB458763 DDQ458763:DDX458763 DNM458763:DNT458763 DXI458763:DXP458763 EHE458763:EHL458763 ERA458763:ERH458763 FAW458763:FBD458763 FKS458763:FKZ458763 FUO458763:FUV458763 GEK458763:GER458763 GOG458763:GON458763 GYC458763:GYJ458763 HHY458763:HIF458763 HRU458763:HSB458763 IBQ458763:IBX458763 ILM458763:ILT458763 IVI458763:IVP458763 JFE458763:JFL458763 JPA458763:JPH458763 JYW458763:JZD458763 KIS458763:KIZ458763 KSO458763:KSV458763 LCK458763:LCR458763 LMG458763:LMN458763 LWC458763:LWJ458763 MFY458763:MGF458763 MPU458763:MQB458763 MZQ458763:MZX458763 NJM458763:NJT458763 NTI458763:NTP458763 ODE458763:ODL458763 ONA458763:ONH458763 OWW458763:OXD458763 PGS458763:PGZ458763 PQO458763:PQV458763 QAK458763:QAR458763 QKG458763:QKN458763 QUC458763:QUJ458763 RDY458763:REF458763 RNU458763:ROB458763 RXQ458763:RXX458763 SHM458763:SHT458763 SRI458763:SRP458763 TBE458763:TBL458763 TLA458763:TLH458763 TUW458763:TVD458763 UES458763:UEZ458763 UOO458763:UOV458763 UYK458763:UYR458763 VIG458763:VIN458763 VSC458763:VSJ458763 WBY458763:WCF458763 WLU458763:WMB458763 WVQ458763:WVX458763 I524299:P524299 JE524299:JL524299 TA524299:TH524299 ACW524299:ADD524299 AMS524299:AMZ524299 AWO524299:AWV524299 BGK524299:BGR524299 BQG524299:BQN524299 CAC524299:CAJ524299 CJY524299:CKF524299 CTU524299:CUB524299 DDQ524299:DDX524299 DNM524299:DNT524299 DXI524299:DXP524299 EHE524299:EHL524299 ERA524299:ERH524299 FAW524299:FBD524299 FKS524299:FKZ524299 FUO524299:FUV524299 GEK524299:GER524299 GOG524299:GON524299 GYC524299:GYJ524299 HHY524299:HIF524299 HRU524299:HSB524299 IBQ524299:IBX524299 ILM524299:ILT524299 IVI524299:IVP524299 JFE524299:JFL524299 JPA524299:JPH524299 JYW524299:JZD524299 KIS524299:KIZ524299 KSO524299:KSV524299 LCK524299:LCR524299 LMG524299:LMN524299 LWC524299:LWJ524299 MFY524299:MGF524299 MPU524299:MQB524299 MZQ524299:MZX524299 NJM524299:NJT524299 NTI524299:NTP524299 ODE524299:ODL524299 ONA524299:ONH524299 OWW524299:OXD524299 PGS524299:PGZ524299 PQO524299:PQV524299 QAK524299:QAR524299 QKG524299:QKN524299 QUC524299:QUJ524299 RDY524299:REF524299 RNU524299:ROB524299 RXQ524299:RXX524299 SHM524299:SHT524299 SRI524299:SRP524299 TBE524299:TBL524299 TLA524299:TLH524299 TUW524299:TVD524299 UES524299:UEZ524299 UOO524299:UOV524299 UYK524299:UYR524299 VIG524299:VIN524299 VSC524299:VSJ524299 WBY524299:WCF524299 WLU524299:WMB524299 WVQ524299:WVX524299 I589835:P589835 JE589835:JL589835 TA589835:TH589835 ACW589835:ADD589835 AMS589835:AMZ589835 AWO589835:AWV589835 BGK589835:BGR589835 BQG589835:BQN589835 CAC589835:CAJ589835 CJY589835:CKF589835 CTU589835:CUB589835 DDQ589835:DDX589835 DNM589835:DNT589835 DXI589835:DXP589835 EHE589835:EHL589835 ERA589835:ERH589835 FAW589835:FBD589835 FKS589835:FKZ589835 FUO589835:FUV589835 GEK589835:GER589835 GOG589835:GON589835 GYC589835:GYJ589835 HHY589835:HIF589835 HRU589835:HSB589835 IBQ589835:IBX589835 ILM589835:ILT589835 IVI589835:IVP589835 JFE589835:JFL589835 JPA589835:JPH589835 JYW589835:JZD589835 KIS589835:KIZ589835 KSO589835:KSV589835 LCK589835:LCR589835 LMG589835:LMN589835 LWC589835:LWJ589835 MFY589835:MGF589835 MPU589835:MQB589835 MZQ589835:MZX589835 NJM589835:NJT589835 NTI589835:NTP589835 ODE589835:ODL589835 ONA589835:ONH589835 OWW589835:OXD589835 PGS589835:PGZ589835 PQO589835:PQV589835 QAK589835:QAR589835 QKG589835:QKN589835 QUC589835:QUJ589835 RDY589835:REF589835 RNU589835:ROB589835 RXQ589835:RXX589835 SHM589835:SHT589835 SRI589835:SRP589835 TBE589835:TBL589835 TLA589835:TLH589835 TUW589835:TVD589835 UES589835:UEZ589835 UOO589835:UOV589835 UYK589835:UYR589835 VIG589835:VIN589835 VSC589835:VSJ589835 WBY589835:WCF589835 WLU589835:WMB589835 WVQ589835:WVX589835 I655371:P655371 JE655371:JL655371 TA655371:TH655371 ACW655371:ADD655371 AMS655371:AMZ655371 AWO655371:AWV655371 BGK655371:BGR655371 BQG655371:BQN655371 CAC655371:CAJ655371 CJY655371:CKF655371 CTU655371:CUB655371 DDQ655371:DDX655371 DNM655371:DNT655371 DXI655371:DXP655371 EHE655371:EHL655371 ERA655371:ERH655371 FAW655371:FBD655371 FKS655371:FKZ655371 FUO655371:FUV655371 GEK655371:GER655371 GOG655371:GON655371 GYC655371:GYJ655371 HHY655371:HIF655371 HRU655371:HSB655371 IBQ655371:IBX655371 ILM655371:ILT655371 IVI655371:IVP655371 JFE655371:JFL655371 JPA655371:JPH655371 JYW655371:JZD655371 KIS655371:KIZ655371 KSO655371:KSV655371 LCK655371:LCR655371 LMG655371:LMN655371 LWC655371:LWJ655371 MFY655371:MGF655371 MPU655371:MQB655371 MZQ655371:MZX655371 NJM655371:NJT655371 NTI655371:NTP655371 ODE655371:ODL655371 ONA655371:ONH655371 OWW655371:OXD655371 PGS655371:PGZ655371 PQO655371:PQV655371 QAK655371:QAR655371 QKG655371:QKN655371 QUC655371:QUJ655371 RDY655371:REF655371 RNU655371:ROB655371 RXQ655371:RXX655371 SHM655371:SHT655371 SRI655371:SRP655371 TBE655371:TBL655371 TLA655371:TLH655371 TUW655371:TVD655371 UES655371:UEZ655371 UOO655371:UOV655371 UYK655371:UYR655371 VIG655371:VIN655371 VSC655371:VSJ655371 WBY655371:WCF655371 WLU655371:WMB655371 WVQ655371:WVX655371 I720907:P720907 JE720907:JL720907 TA720907:TH720907 ACW720907:ADD720907 AMS720907:AMZ720907 AWO720907:AWV720907 BGK720907:BGR720907 BQG720907:BQN720907 CAC720907:CAJ720907 CJY720907:CKF720907 CTU720907:CUB720907 DDQ720907:DDX720907 DNM720907:DNT720907 DXI720907:DXP720907 EHE720907:EHL720907 ERA720907:ERH720907 FAW720907:FBD720907 FKS720907:FKZ720907 FUO720907:FUV720907 GEK720907:GER720907 GOG720907:GON720907 GYC720907:GYJ720907 HHY720907:HIF720907 HRU720907:HSB720907 IBQ720907:IBX720907 ILM720907:ILT720907 IVI720907:IVP720907 JFE720907:JFL720907 JPA720907:JPH720907 JYW720907:JZD720907 KIS720907:KIZ720907 KSO720907:KSV720907 LCK720907:LCR720907 LMG720907:LMN720907 LWC720907:LWJ720907 MFY720907:MGF720907 MPU720907:MQB720907 MZQ720907:MZX720907 NJM720907:NJT720907 NTI720907:NTP720907 ODE720907:ODL720907 ONA720907:ONH720907 OWW720907:OXD720907 PGS720907:PGZ720907 PQO720907:PQV720907 QAK720907:QAR720907 QKG720907:QKN720907 QUC720907:QUJ720907 RDY720907:REF720907 RNU720907:ROB720907 RXQ720907:RXX720907 SHM720907:SHT720907 SRI720907:SRP720907 TBE720907:TBL720907 TLA720907:TLH720907 TUW720907:TVD720907 UES720907:UEZ720907 UOO720907:UOV720907 UYK720907:UYR720907 VIG720907:VIN720907 VSC720907:VSJ720907 WBY720907:WCF720907 WLU720907:WMB720907 WVQ720907:WVX720907 I786443:P786443 JE786443:JL786443 TA786443:TH786443 ACW786443:ADD786443 AMS786443:AMZ786443 AWO786443:AWV786443 BGK786443:BGR786443 BQG786443:BQN786443 CAC786443:CAJ786443 CJY786443:CKF786443 CTU786443:CUB786443 DDQ786443:DDX786443 DNM786443:DNT786443 DXI786443:DXP786443 EHE786443:EHL786443 ERA786443:ERH786443 FAW786443:FBD786443 FKS786443:FKZ786443 FUO786443:FUV786443 GEK786443:GER786443 GOG786443:GON786443 GYC786443:GYJ786443 HHY786443:HIF786443 HRU786443:HSB786443 IBQ786443:IBX786443 ILM786443:ILT786443 IVI786443:IVP786443 JFE786443:JFL786443 JPA786443:JPH786443 JYW786443:JZD786443 KIS786443:KIZ786443 KSO786443:KSV786443 LCK786443:LCR786443 LMG786443:LMN786443 LWC786443:LWJ786443 MFY786443:MGF786443 MPU786443:MQB786443 MZQ786443:MZX786443 NJM786443:NJT786443 NTI786443:NTP786443 ODE786443:ODL786443 ONA786443:ONH786443 OWW786443:OXD786443 PGS786443:PGZ786443 PQO786443:PQV786443 QAK786443:QAR786443 QKG786443:QKN786443 QUC786443:QUJ786443 RDY786443:REF786443 RNU786443:ROB786443 RXQ786443:RXX786443 SHM786443:SHT786443 SRI786443:SRP786443 TBE786443:TBL786443 TLA786443:TLH786443 TUW786443:TVD786443 UES786443:UEZ786443 UOO786443:UOV786443 UYK786443:UYR786443 VIG786443:VIN786443 VSC786443:VSJ786443 WBY786443:WCF786443 WLU786443:WMB786443 WVQ786443:WVX786443 I851979:P851979 JE851979:JL851979 TA851979:TH851979 ACW851979:ADD851979 AMS851979:AMZ851979 AWO851979:AWV851979 BGK851979:BGR851979 BQG851979:BQN851979 CAC851979:CAJ851979 CJY851979:CKF851979 CTU851979:CUB851979 DDQ851979:DDX851979 DNM851979:DNT851979 DXI851979:DXP851979 EHE851979:EHL851979 ERA851979:ERH851979 FAW851979:FBD851979 FKS851979:FKZ851979 FUO851979:FUV851979 GEK851979:GER851979 GOG851979:GON851979 GYC851979:GYJ851979 HHY851979:HIF851979 HRU851979:HSB851979 IBQ851979:IBX851979 ILM851979:ILT851979 IVI851979:IVP851979 JFE851979:JFL851979 JPA851979:JPH851979 JYW851979:JZD851979 KIS851979:KIZ851979 KSO851979:KSV851979 LCK851979:LCR851979 LMG851979:LMN851979 LWC851979:LWJ851979 MFY851979:MGF851979 MPU851979:MQB851979 MZQ851979:MZX851979 NJM851979:NJT851979 NTI851979:NTP851979 ODE851979:ODL851979 ONA851979:ONH851979 OWW851979:OXD851979 PGS851979:PGZ851979 PQO851979:PQV851979 QAK851979:QAR851979 QKG851979:QKN851979 QUC851979:QUJ851979 RDY851979:REF851979 RNU851979:ROB851979 RXQ851979:RXX851979 SHM851979:SHT851979 SRI851979:SRP851979 TBE851979:TBL851979 TLA851979:TLH851979 TUW851979:TVD851979 UES851979:UEZ851979 UOO851979:UOV851979 UYK851979:UYR851979 VIG851979:VIN851979 VSC851979:VSJ851979 WBY851979:WCF851979 WLU851979:WMB851979 WVQ851979:WVX851979 I917515:P917515 JE917515:JL917515 TA917515:TH917515 ACW917515:ADD917515 AMS917515:AMZ917515 AWO917515:AWV917515 BGK917515:BGR917515 BQG917515:BQN917515 CAC917515:CAJ917515 CJY917515:CKF917515 CTU917515:CUB917515 DDQ917515:DDX917515 DNM917515:DNT917515 DXI917515:DXP917515 EHE917515:EHL917515 ERA917515:ERH917515 FAW917515:FBD917515 FKS917515:FKZ917515 FUO917515:FUV917515 GEK917515:GER917515 GOG917515:GON917515 GYC917515:GYJ917515 HHY917515:HIF917515 HRU917515:HSB917515 IBQ917515:IBX917515 ILM917515:ILT917515 IVI917515:IVP917515 JFE917515:JFL917515 JPA917515:JPH917515 JYW917515:JZD917515 KIS917515:KIZ917515 KSO917515:KSV917515 LCK917515:LCR917515 LMG917515:LMN917515 LWC917515:LWJ917515 MFY917515:MGF917515 MPU917515:MQB917515 MZQ917515:MZX917515 NJM917515:NJT917515 NTI917515:NTP917515 ODE917515:ODL917515 ONA917515:ONH917515 OWW917515:OXD917515 PGS917515:PGZ917515 PQO917515:PQV917515 QAK917515:QAR917515 QKG917515:QKN917515 QUC917515:QUJ917515 RDY917515:REF917515 RNU917515:ROB917515 RXQ917515:RXX917515 SHM917515:SHT917515 SRI917515:SRP917515 TBE917515:TBL917515 TLA917515:TLH917515 TUW917515:TVD917515 UES917515:UEZ917515 UOO917515:UOV917515 UYK917515:UYR917515 VIG917515:VIN917515 VSC917515:VSJ917515 WBY917515:WCF917515 WLU917515:WMB917515 WVQ917515:WVX917515 I983051:P983051 JE983051:JL983051 TA983051:TH983051 ACW983051:ADD983051 AMS983051:AMZ983051 AWO983051:AWV983051 BGK983051:BGR983051 BQG983051:BQN983051 CAC983051:CAJ983051 CJY983051:CKF983051 CTU983051:CUB983051 DDQ983051:DDX983051 DNM983051:DNT983051 DXI983051:DXP983051 EHE983051:EHL983051 ERA983051:ERH983051 FAW983051:FBD983051 FKS983051:FKZ983051 FUO983051:FUV983051 GEK983051:GER983051 GOG983051:GON983051 GYC983051:GYJ983051 HHY983051:HIF983051 HRU983051:HSB983051 IBQ983051:IBX983051 ILM983051:ILT983051 IVI983051:IVP983051 JFE983051:JFL983051 JPA983051:JPH983051 JYW983051:JZD983051 KIS983051:KIZ983051 KSO983051:KSV983051 LCK983051:LCR983051 LMG983051:LMN983051 LWC983051:LWJ983051 MFY983051:MGF983051 MPU983051:MQB983051 MZQ983051:MZX983051 NJM983051:NJT983051 NTI983051:NTP983051 ODE983051:ODL983051 ONA983051:ONH983051 OWW983051:OXD983051 PGS983051:PGZ983051 PQO983051:PQV983051 QAK983051:QAR983051 QKG983051:QKN983051 QUC983051:QUJ983051 RDY983051:REF983051 RNU983051:ROB983051 RXQ983051:RXX983051 SHM983051:SHT983051 SRI983051:SRP983051 TBE983051:TBL983051 TLA983051:TLH983051 TUW983051:TVD983051 UES983051:UEZ983051 UOO983051:UOV983051 UYK983051:UYR983051 VIG983051:VIN983051 VSC983051:VSJ983051 WBY983051:WCF983051 WLU983051:WMB983051 WVQ983051:WVX983051" xr:uid="{00000000-0002-0000-0400-000000000000}">
      <formula1>$A$52:$A$59</formula1>
    </dataValidation>
    <dataValidation operator="greaterThanOrEqual" allowBlank="1" showInputMessage="1" showErrorMessage="1" errorTitle="Erro de valores" error="Digite um valor igual a 0% ou 2%." sqref="N25 JJ25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xr:uid="{00000000-0002-0000-0400-000001000000}"/>
    <dataValidation type="decimal" allowBlank="1" showInputMessage="1" showErrorMessage="1" errorTitle="Erro de valores" error="Digite um valor maior do que 0." sqref="N24 JJ24 TF24 ADB24 AMX24 AWT24 BGP24 BQL24 CAH24 CKD24 CTZ24 DDV24 DNR24 DXN24 EHJ24 ERF24 FBB24 FKX24 FUT24 GEP24 GOL24 GYH24 HID24 HRZ24 IBV24 ILR24 IVN24 JFJ24 JPF24 JZB24 KIX24 KST24 LCP24 LML24 LWH24 MGD24 MPZ24 MZV24 NJR24 NTN24 ODJ24 ONF24 OXB24 PGX24 PQT24 QAP24 QKL24 QUH24 RED24 RNZ24 RXV24 SHR24 SRN24 TBJ24 TLF24 TVB24 UEX24 UOT24 UYP24 VIL24 VSH24 WCD24 WLZ24 WVV24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xr:uid="{00000000-0002-0000-0400-000002000000}">
      <formula1>0</formula1>
      <formula2>1</formula2>
    </dataValidation>
    <dataValidation type="decimal" allowBlank="1" showInputMessage="1" showErrorMessage="1" errorTitle="Valor não permitido" error="Digite um percentual entre 0% e 100%." promptTitle="Valores admissíveis:" prompt="Insira valores entre 0 e 100%." sqref="Q13:R13 JM13:JN13 TI13:TJ13 ADE13:ADF13 ANA13:ANB13 AWW13:AWX13 BGS13:BGT13 BQO13:BQP13 CAK13:CAL13 CKG13:CKH13 CUC13:CUD13 DDY13:DDZ13 DNU13:DNV13 DXQ13:DXR13 EHM13:EHN13 ERI13:ERJ13 FBE13:FBF13 FLA13:FLB13 FUW13:FUX13 GES13:GET13 GOO13:GOP13 GYK13:GYL13 HIG13:HIH13 HSC13:HSD13 IBY13:IBZ13 ILU13:ILV13 IVQ13:IVR13 JFM13:JFN13 JPI13:JPJ13 JZE13:JZF13 KJA13:KJB13 KSW13:KSX13 LCS13:LCT13 LMO13:LMP13 LWK13:LWL13 MGG13:MGH13 MQC13:MQD13 MZY13:MZZ13 NJU13:NJV13 NTQ13:NTR13 ODM13:ODN13 ONI13:ONJ13 OXE13:OXF13 PHA13:PHB13 PQW13:PQX13 QAS13:QAT13 QKO13:QKP13 QUK13:QUL13 REG13:REH13 ROC13:ROD13 RXY13:RXZ13 SHU13:SHV13 SRQ13:SRR13 TBM13:TBN13 TLI13:TLJ13 TVE13:TVF13 UFA13:UFB13 UOW13:UOX13 UYS13:UYT13 VIO13:VIP13 VSK13:VSL13 WCG13:WCH13 WMC13:WMD13 WVY13:WVZ13 Q65549:R65549 JM65549:JN65549 TI65549:TJ65549 ADE65549:ADF65549 ANA65549:ANB65549 AWW65549:AWX65549 BGS65549:BGT65549 BQO65549:BQP65549 CAK65549:CAL65549 CKG65549:CKH65549 CUC65549:CUD65549 DDY65549:DDZ65549 DNU65549:DNV65549 DXQ65549:DXR65549 EHM65549:EHN65549 ERI65549:ERJ65549 FBE65549:FBF65549 FLA65549:FLB65549 FUW65549:FUX65549 GES65549:GET65549 GOO65549:GOP65549 GYK65549:GYL65549 HIG65549:HIH65549 HSC65549:HSD65549 IBY65549:IBZ65549 ILU65549:ILV65549 IVQ65549:IVR65549 JFM65549:JFN65549 JPI65549:JPJ65549 JZE65549:JZF65549 KJA65549:KJB65549 KSW65549:KSX65549 LCS65549:LCT65549 LMO65549:LMP65549 LWK65549:LWL65549 MGG65549:MGH65549 MQC65549:MQD65549 MZY65549:MZZ65549 NJU65549:NJV65549 NTQ65549:NTR65549 ODM65549:ODN65549 ONI65549:ONJ65549 OXE65549:OXF65549 PHA65549:PHB65549 PQW65549:PQX65549 QAS65549:QAT65549 QKO65549:QKP65549 QUK65549:QUL65549 REG65549:REH65549 ROC65549:ROD65549 RXY65549:RXZ65549 SHU65549:SHV65549 SRQ65549:SRR65549 TBM65549:TBN65549 TLI65549:TLJ65549 TVE65549:TVF65549 UFA65549:UFB65549 UOW65549:UOX65549 UYS65549:UYT65549 VIO65549:VIP65549 VSK65549:VSL65549 WCG65549:WCH65549 WMC65549:WMD65549 WVY65549:WVZ65549 Q131085:R131085 JM131085:JN131085 TI131085:TJ131085 ADE131085:ADF131085 ANA131085:ANB131085 AWW131085:AWX131085 BGS131085:BGT131085 BQO131085:BQP131085 CAK131085:CAL131085 CKG131085:CKH131085 CUC131085:CUD131085 DDY131085:DDZ131085 DNU131085:DNV131085 DXQ131085:DXR131085 EHM131085:EHN131085 ERI131085:ERJ131085 FBE131085:FBF131085 FLA131085:FLB131085 FUW131085:FUX131085 GES131085:GET131085 GOO131085:GOP131085 GYK131085:GYL131085 HIG131085:HIH131085 HSC131085:HSD131085 IBY131085:IBZ131085 ILU131085:ILV131085 IVQ131085:IVR131085 JFM131085:JFN131085 JPI131085:JPJ131085 JZE131085:JZF131085 KJA131085:KJB131085 KSW131085:KSX131085 LCS131085:LCT131085 LMO131085:LMP131085 LWK131085:LWL131085 MGG131085:MGH131085 MQC131085:MQD131085 MZY131085:MZZ131085 NJU131085:NJV131085 NTQ131085:NTR131085 ODM131085:ODN131085 ONI131085:ONJ131085 OXE131085:OXF131085 PHA131085:PHB131085 PQW131085:PQX131085 QAS131085:QAT131085 QKO131085:QKP131085 QUK131085:QUL131085 REG131085:REH131085 ROC131085:ROD131085 RXY131085:RXZ131085 SHU131085:SHV131085 SRQ131085:SRR131085 TBM131085:TBN131085 TLI131085:TLJ131085 TVE131085:TVF131085 UFA131085:UFB131085 UOW131085:UOX131085 UYS131085:UYT131085 VIO131085:VIP131085 VSK131085:VSL131085 WCG131085:WCH131085 WMC131085:WMD131085 WVY131085:WVZ131085 Q196621:R196621 JM196621:JN196621 TI196621:TJ196621 ADE196621:ADF196621 ANA196621:ANB196621 AWW196621:AWX196621 BGS196621:BGT196621 BQO196621:BQP196621 CAK196621:CAL196621 CKG196621:CKH196621 CUC196621:CUD196621 DDY196621:DDZ196621 DNU196621:DNV196621 DXQ196621:DXR196621 EHM196621:EHN196621 ERI196621:ERJ196621 FBE196621:FBF196621 FLA196621:FLB196621 FUW196621:FUX196621 GES196621:GET196621 GOO196621:GOP196621 GYK196621:GYL196621 HIG196621:HIH196621 HSC196621:HSD196621 IBY196621:IBZ196621 ILU196621:ILV196621 IVQ196621:IVR196621 JFM196621:JFN196621 JPI196621:JPJ196621 JZE196621:JZF196621 KJA196621:KJB196621 KSW196621:KSX196621 LCS196621:LCT196621 LMO196621:LMP196621 LWK196621:LWL196621 MGG196621:MGH196621 MQC196621:MQD196621 MZY196621:MZZ196621 NJU196621:NJV196621 NTQ196621:NTR196621 ODM196621:ODN196621 ONI196621:ONJ196621 OXE196621:OXF196621 PHA196621:PHB196621 PQW196621:PQX196621 QAS196621:QAT196621 QKO196621:QKP196621 QUK196621:QUL196621 REG196621:REH196621 ROC196621:ROD196621 RXY196621:RXZ196621 SHU196621:SHV196621 SRQ196621:SRR196621 TBM196621:TBN196621 TLI196621:TLJ196621 TVE196621:TVF196621 UFA196621:UFB196621 UOW196621:UOX196621 UYS196621:UYT196621 VIO196621:VIP196621 VSK196621:VSL196621 WCG196621:WCH196621 WMC196621:WMD196621 WVY196621:WVZ196621 Q262157:R262157 JM262157:JN262157 TI262157:TJ262157 ADE262157:ADF262157 ANA262157:ANB262157 AWW262157:AWX262157 BGS262157:BGT262157 BQO262157:BQP262157 CAK262157:CAL262157 CKG262157:CKH262157 CUC262157:CUD262157 DDY262157:DDZ262157 DNU262157:DNV262157 DXQ262157:DXR262157 EHM262157:EHN262157 ERI262157:ERJ262157 FBE262157:FBF262157 FLA262157:FLB262157 FUW262157:FUX262157 GES262157:GET262157 GOO262157:GOP262157 GYK262157:GYL262157 HIG262157:HIH262157 HSC262157:HSD262157 IBY262157:IBZ262157 ILU262157:ILV262157 IVQ262157:IVR262157 JFM262157:JFN262157 JPI262157:JPJ262157 JZE262157:JZF262157 KJA262157:KJB262157 KSW262157:KSX262157 LCS262157:LCT262157 LMO262157:LMP262157 LWK262157:LWL262157 MGG262157:MGH262157 MQC262157:MQD262157 MZY262157:MZZ262157 NJU262157:NJV262157 NTQ262157:NTR262157 ODM262157:ODN262157 ONI262157:ONJ262157 OXE262157:OXF262157 PHA262157:PHB262157 PQW262157:PQX262157 QAS262157:QAT262157 QKO262157:QKP262157 QUK262157:QUL262157 REG262157:REH262157 ROC262157:ROD262157 RXY262157:RXZ262157 SHU262157:SHV262157 SRQ262157:SRR262157 TBM262157:TBN262157 TLI262157:TLJ262157 TVE262157:TVF262157 UFA262157:UFB262157 UOW262157:UOX262157 UYS262157:UYT262157 VIO262157:VIP262157 VSK262157:VSL262157 WCG262157:WCH262157 WMC262157:WMD262157 WVY262157:WVZ262157 Q327693:R327693 JM327693:JN327693 TI327693:TJ327693 ADE327693:ADF327693 ANA327693:ANB327693 AWW327693:AWX327693 BGS327693:BGT327693 BQO327693:BQP327693 CAK327693:CAL327693 CKG327693:CKH327693 CUC327693:CUD327693 DDY327693:DDZ327693 DNU327693:DNV327693 DXQ327693:DXR327693 EHM327693:EHN327693 ERI327693:ERJ327693 FBE327693:FBF327693 FLA327693:FLB327693 FUW327693:FUX327693 GES327693:GET327693 GOO327693:GOP327693 GYK327693:GYL327693 HIG327693:HIH327693 HSC327693:HSD327693 IBY327693:IBZ327693 ILU327693:ILV327693 IVQ327693:IVR327693 JFM327693:JFN327693 JPI327693:JPJ327693 JZE327693:JZF327693 KJA327693:KJB327693 KSW327693:KSX327693 LCS327693:LCT327693 LMO327693:LMP327693 LWK327693:LWL327693 MGG327693:MGH327693 MQC327693:MQD327693 MZY327693:MZZ327693 NJU327693:NJV327693 NTQ327693:NTR327693 ODM327693:ODN327693 ONI327693:ONJ327693 OXE327693:OXF327693 PHA327693:PHB327693 PQW327693:PQX327693 QAS327693:QAT327693 QKO327693:QKP327693 QUK327693:QUL327693 REG327693:REH327693 ROC327693:ROD327693 RXY327693:RXZ327693 SHU327693:SHV327693 SRQ327693:SRR327693 TBM327693:TBN327693 TLI327693:TLJ327693 TVE327693:TVF327693 UFA327693:UFB327693 UOW327693:UOX327693 UYS327693:UYT327693 VIO327693:VIP327693 VSK327693:VSL327693 WCG327693:WCH327693 WMC327693:WMD327693 WVY327693:WVZ327693 Q393229:R393229 JM393229:JN393229 TI393229:TJ393229 ADE393229:ADF393229 ANA393229:ANB393229 AWW393229:AWX393229 BGS393229:BGT393229 BQO393229:BQP393229 CAK393229:CAL393229 CKG393229:CKH393229 CUC393229:CUD393229 DDY393229:DDZ393229 DNU393229:DNV393229 DXQ393229:DXR393229 EHM393229:EHN393229 ERI393229:ERJ393229 FBE393229:FBF393229 FLA393229:FLB393229 FUW393229:FUX393229 GES393229:GET393229 GOO393229:GOP393229 GYK393229:GYL393229 HIG393229:HIH393229 HSC393229:HSD393229 IBY393229:IBZ393229 ILU393229:ILV393229 IVQ393229:IVR393229 JFM393229:JFN393229 JPI393229:JPJ393229 JZE393229:JZF393229 KJA393229:KJB393229 KSW393229:KSX393229 LCS393229:LCT393229 LMO393229:LMP393229 LWK393229:LWL393229 MGG393229:MGH393229 MQC393229:MQD393229 MZY393229:MZZ393229 NJU393229:NJV393229 NTQ393229:NTR393229 ODM393229:ODN393229 ONI393229:ONJ393229 OXE393229:OXF393229 PHA393229:PHB393229 PQW393229:PQX393229 QAS393229:QAT393229 QKO393229:QKP393229 QUK393229:QUL393229 REG393229:REH393229 ROC393229:ROD393229 RXY393229:RXZ393229 SHU393229:SHV393229 SRQ393229:SRR393229 TBM393229:TBN393229 TLI393229:TLJ393229 TVE393229:TVF393229 UFA393229:UFB393229 UOW393229:UOX393229 UYS393229:UYT393229 VIO393229:VIP393229 VSK393229:VSL393229 WCG393229:WCH393229 WMC393229:WMD393229 WVY393229:WVZ393229 Q458765:R458765 JM458765:JN458765 TI458765:TJ458765 ADE458765:ADF458765 ANA458765:ANB458765 AWW458765:AWX458765 BGS458765:BGT458765 BQO458765:BQP458765 CAK458765:CAL458765 CKG458765:CKH458765 CUC458765:CUD458765 DDY458765:DDZ458765 DNU458765:DNV458765 DXQ458765:DXR458765 EHM458765:EHN458765 ERI458765:ERJ458765 FBE458765:FBF458765 FLA458765:FLB458765 FUW458765:FUX458765 GES458765:GET458765 GOO458765:GOP458765 GYK458765:GYL458765 HIG458765:HIH458765 HSC458765:HSD458765 IBY458765:IBZ458765 ILU458765:ILV458765 IVQ458765:IVR458765 JFM458765:JFN458765 JPI458765:JPJ458765 JZE458765:JZF458765 KJA458765:KJB458765 KSW458765:KSX458765 LCS458765:LCT458765 LMO458765:LMP458765 LWK458765:LWL458765 MGG458765:MGH458765 MQC458765:MQD458765 MZY458765:MZZ458765 NJU458765:NJV458765 NTQ458765:NTR458765 ODM458765:ODN458765 ONI458765:ONJ458765 OXE458765:OXF458765 PHA458765:PHB458765 PQW458765:PQX458765 QAS458765:QAT458765 QKO458765:QKP458765 QUK458765:QUL458765 REG458765:REH458765 ROC458765:ROD458765 RXY458765:RXZ458765 SHU458765:SHV458765 SRQ458765:SRR458765 TBM458765:TBN458765 TLI458765:TLJ458765 TVE458765:TVF458765 UFA458765:UFB458765 UOW458765:UOX458765 UYS458765:UYT458765 VIO458765:VIP458765 VSK458765:VSL458765 WCG458765:WCH458765 WMC458765:WMD458765 WVY458765:WVZ458765 Q524301:R524301 JM524301:JN524301 TI524301:TJ524301 ADE524301:ADF524301 ANA524301:ANB524301 AWW524301:AWX524301 BGS524301:BGT524301 BQO524301:BQP524301 CAK524301:CAL524301 CKG524301:CKH524301 CUC524301:CUD524301 DDY524301:DDZ524301 DNU524301:DNV524301 DXQ524301:DXR524301 EHM524301:EHN524301 ERI524301:ERJ524301 FBE524301:FBF524301 FLA524301:FLB524301 FUW524301:FUX524301 GES524301:GET524301 GOO524301:GOP524301 GYK524301:GYL524301 HIG524301:HIH524301 HSC524301:HSD524301 IBY524301:IBZ524301 ILU524301:ILV524301 IVQ524301:IVR524301 JFM524301:JFN524301 JPI524301:JPJ524301 JZE524301:JZF524301 KJA524301:KJB524301 KSW524301:KSX524301 LCS524301:LCT524301 LMO524301:LMP524301 LWK524301:LWL524301 MGG524301:MGH524301 MQC524301:MQD524301 MZY524301:MZZ524301 NJU524301:NJV524301 NTQ524301:NTR524301 ODM524301:ODN524301 ONI524301:ONJ524301 OXE524301:OXF524301 PHA524301:PHB524301 PQW524301:PQX524301 QAS524301:QAT524301 QKO524301:QKP524301 QUK524301:QUL524301 REG524301:REH524301 ROC524301:ROD524301 RXY524301:RXZ524301 SHU524301:SHV524301 SRQ524301:SRR524301 TBM524301:TBN524301 TLI524301:TLJ524301 TVE524301:TVF524301 UFA524301:UFB524301 UOW524301:UOX524301 UYS524301:UYT524301 VIO524301:VIP524301 VSK524301:VSL524301 WCG524301:WCH524301 WMC524301:WMD524301 WVY524301:WVZ524301 Q589837:R589837 JM589837:JN589837 TI589837:TJ589837 ADE589837:ADF589837 ANA589837:ANB589837 AWW589837:AWX589837 BGS589837:BGT589837 BQO589837:BQP589837 CAK589837:CAL589837 CKG589837:CKH589837 CUC589837:CUD589837 DDY589837:DDZ589837 DNU589837:DNV589837 DXQ589837:DXR589837 EHM589837:EHN589837 ERI589837:ERJ589837 FBE589837:FBF589837 FLA589837:FLB589837 FUW589837:FUX589837 GES589837:GET589837 GOO589837:GOP589837 GYK589837:GYL589837 HIG589837:HIH589837 HSC589837:HSD589837 IBY589837:IBZ589837 ILU589837:ILV589837 IVQ589837:IVR589837 JFM589837:JFN589837 JPI589837:JPJ589837 JZE589837:JZF589837 KJA589837:KJB589837 KSW589837:KSX589837 LCS589837:LCT589837 LMO589837:LMP589837 LWK589837:LWL589837 MGG589837:MGH589837 MQC589837:MQD589837 MZY589837:MZZ589837 NJU589837:NJV589837 NTQ589837:NTR589837 ODM589837:ODN589837 ONI589837:ONJ589837 OXE589837:OXF589837 PHA589837:PHB589837 PQW589837:PQX589837 QAS589837:QAT589837 QKO589837:QKP589837 QUK589837:QUL589837 REG589837:REH589837 ROC589837:ROD589837 RXY589837:RXZ589837 SHU589837:SHV589837 SRQ589837:SRR589837 TBM589837:TBN589837 TLI589837:TLJ589837 TVE589837:TVF589837 UFA589837:UFB589837 UOW589837:UOX589837 UYS589837:UYT589837 VIO589837:VIP589837 VSK589837:VSL589837 WCG589837:WCH589837 WMC589837:WMD589837 WVY589837:WVZ589837 Q655373:R655373 JM655373:JN655373 TI655373:TJ655373 ADE655373:ADF655373 ANA655373:ANB655373 AWW655373:AWX655373 BGS655373:BGT655373 BQO655373:BQP655373 CAK655373:CAL655373 CKG655373:CKH655373 CUC655373:CUD655373 DDY655373:DDZ655373 DNU655373:DNV655373 DXQ655373:DXR655373 EHM655373:EHN655373 ERI655373:ERJ655373 FBE655373:FBF655373 FLA655373:FLB655373 FUW655373:FUX655373 GES655373:GET655373 GOO655373:GOP655373 GYK655373:GYL655373 HIG655373:HIH655373 HSC655373:HSD655373 IBY655373:IBZ655373 ILU655373:ILV655373 IVQ655373:IVR655373 JFM655373:JFN655373 JPI655373:JPJ655373 JZE655373:JZF655373 KJA655373:KJB655373 KSW655373:KSX655373 LCS655373:LCT655373 LMO655373:LMP655373 LWK655373:LWL655373 MGG655373:MGH655373 MQC655373:MQD655373 MZY655373:MZZ655373 NJU655373:NJV655373 NTQ655373:NTR655373 ODM655373:ODN655373 ONI655373:ONJ655373 OXE655373:OXF655373 PHA655373:PHB655373 PQW655373:PQX655373 QAS655373:QAT655373 QKO655373:QKP655373 QUK655373:QUL655373 REG655373:REH655373 ROC655373:ROD655373 RXY655373:RXZ655373 SHU655373:SHV655373 SRQ655373:SRR655373 TBM655373:TBN655373 TLI655373:TLJ655373 TVE655373:TVF655373 UFA655373:UFB655373 UOW655373:UOX655373 UYS655373:UYT655373 VIO655373:VIP655373 VSK655373:VSL655373 WCG655373:WCH655373 WMC655373:WMD655373 WVY655373:WVZ655373 Q720909:R720909 JM720909:JN720909 TI720909:TJ720909 ADE720909:ADF720909 ANA720909:ANB720909 AWW720909:AWX720909 BGS720909:BGT720909 BQO720909:BQP720909 CAK720909:CAL720909 CKG720909:CKH720909 CUC720909:CUD720909 DDY720909:DDZ720909 DNU720909:DNV720909 DXQ720909:DXR720909 EHM720909:EHN720909 ERI720909:ERJ720909 FBE720909:FBF720909 FLA720909:FLB720909 FUW720909:FUX720909 GES720909:GET720909 GOO720909:GOP720909 GYK720909:GYL720909 HIG720909:HIH720909 HSC720909:HSD720909 IBY720909:IBZ720909 ILU720909:ILV720909 IVQ720909:IVR720909 JFM720909:JFN720909 JPI720909:JPJ720909 JZE720909:JZF720909 KJA720909:KJB720909 KSW720909:KSX720909 LCS720909:LCT720909 LMO720909:LMP720909 LWK720909:LWL720909 MGG720909:MGH720909 MQC720909:MQD720909 MZY720909:MZZ720909 NJU720909:NJV720909 NTQ720909:NTR720909 ODM720909:ODN720909 ONI720909:ONJ720909 OXE720909:OXF720909 PHA720909:PHB720909 PQW720909:PQX720909 QAS720909:QAT720909 QKO720909:QKP720909 QUK720909:QUL720909 REG720909:REH720909 ROC720909:ROD720909 RXY720909:RXZ720909 SHU720909:SHV720909 SRQ720909:SRR720909 TBM720909:TBN720909 TLI720909:TLJ720909 TVE720909:TVF720909 UFA720909:UFB720909 UOW720909:UOX720909 UYS720909:UYT720909 VIO720909:VIP720909 VSK720909:VSL720909 WCG720909:WCH720909 WMC720909:WMD720909 WVY720909:WVZ720909 Q786445:R786445 JM786445:JN786445 TI786445:TJ786445 ADE786445:ADF786445 ANA786445:ANB786445 AWW786445:AWX786445 BGS786445:BGT786445 BQO786445:BQP786445 CAK786445:CAL786445 CKG786445:CKH786445 CUC786445:CUD786445 DDY786445:DDZ786445 DNU786445:DNV786445 DXQ786445:DXR786445 EHM786445:EHN786445 ERI786445:ERJ786445 FBE786445:FBF786445 FLA786445:FLB786445 FUW786445:FUX786445 GES786445:GET786445 GOO786445:GOP786445 GYK786445:GYL786445 HIG786445:HIH786445 HSC786445:HSD786445 IBY786445:IBZ786445 ILU786445:ILV786445 IVQ786445:IVR786445 JFM786445:JFN786445 JPI786445:JPJ786445 JZE786445:JZF786445 KJA786445:KJB786445 KSW786445:KSX786445 LCS786445:LCT786445 LMO786445:LMP786445 LWK786445:LWL786445 MGG786445:MGH786445 MQC786445:MQD786445 MZY786445:MZZ786445 NJU786445:NJV786445 NTQ786445:NTR786445 ODM786445:ODN786445 ONI786445:ONJ786445 OXE786445:OXF786445 PHA786445:PHB786445 PQW786445:PQX786445 QAS786445:QAT786445 QKO786445:QKP786445 QUK786445:QUL786445 REG786445:REH786445 ROC786445:ROD786445 RXY786445:RXZ786445 SHU786445:SHV786445 SRQ786445:SRR786445 TBM786445:TBN786445 TLI786445:TLJ786445 TVE786445:TVF786445 UFA786445:UFB786445 UOW786445:UOX786445 UYS786445:UYT786445 VIO786445:VIP786445 VSK786445:VSL786445 WCG786445:WCH786445 WMC786445:WMD786445 WVY786445:WVZ786445 Q851981:R851981 JM851981:JN851981 TI851981:TJ851981 ADE851981:ADF851981 ANA851981:ANB851981 AWW851981:AWX851981 BGS851981:BGT851981 BQO851981:BQP851981 CAK851981:CAL851981 CKG851981:CKH851981 CUC851981:CUD851981 DDY851981:DDZ851981 DNU851981:DNV851981 DXQ851981:DXR851981 EHM851981:EHN851981 ERI851981:ERJ851981 FBE851981:FBF851981 FLA851981:FLB851981 FUW851981:FUX851981 GES851981:GET851981 GOO851981:GOP851981 GYK851981:GYL851981 HIG851981:HIH851981 HSC851981:HSD851981 IBY851981:IBZ851981 ILU851981:ILV851981 IVQ851981:IVR851981 JFM851981:JFN851981 JPI851981:JPJ851981 JZE851981:JZF851981 KJA851981:KJB851981 KSW851981:KSX851981 LCS851981:LCT851981 LMO851981:LMP851981 LWK851981:LWL851981 MGG851981:MGH851981 MQC851981:MQD851981 MZY851981:MZZ851981 NJU851981:NJV851981 NTQ851981:NTR851981 ODM851981:ODN851981 ONI851981:ONJ851981 OXE851981:OXF851981 PHA851981:PHB851981 PQW851981:PQX851981 QAS851981:QAT851981 QKO851981:QKP851981 QUK851981:QUL851981 REG851981:REH851981 ROC851981:ROD851981 RXY851981:RXZ851981 SHU851981:SHV851981 SRQ851981:SRR851981 TBM851981:TBN851981 TLI851981:TLJ851981 TVE851981:TVF851981 UFA851981:UFB851981 UOW851981:UOX851981 UYS851981:UYT851981 VIO851981:VIP851981 VSK851981:VSL851981 WCG851981:WCH851981 WMC851981:WMD851981 WVY851981:WVZ851981 Q917517:R917517 JM917517:JN917517 TI917517:TJ917517 ADE917517:ADF917517 ANA917517:ANB917517 AWW917517:AWX917517 BGS917517:BGT917517 BQO917517:BQP917517 CAK917517:CAL917517 CKG917517:CKH917517 CUC917517:CUD917517 DDY917517:DDZ917517 DNU917517:DNV917517 DXQ917517:DXR917517 EHM917517:EHN917517 ERI917517:ERJ917517 FBE917517:FBF917517 FLA917517:FLB917517 FUW917517:FUX917517 GES917517:GET917517 GOO917517:GOP917517 GYK917517:GYL917517 HIG917517:HIH917517 HSC917517:HSD917517 IBY917517:IBZ917517 ILU917517:ILV917517 IVQ917517:IVR917517 JFM917517:JFN917517 JPI917517:JPJ917517 JZE917517:JZF917517 KJA917517:KJB917517 KSW917517:KSX917517 LCS917517:LCT917517 LMO917517:LMP917517 LWK917517:LWL917517 MGG917517:MGH917517 MQC917517:MQD917517 MZY917517:MZZ917517 NJU917517:NJV917517 NTQ917517:NTR917517 ODM917517:ODN917517 ONI917517:ONJ917517 OXE917517:OXF917517 PHA917517:PHB917517 PQW917517:PQX917517 QAS917517:QAT917517 QKO917517:QKP917517 QUK917517:QUL917517 REG917517:REH917517 ROC917517:ROD917517 RXY917517:RXZ917517 SHU917517:SHV917517 SRQ917517:SRR917517 TBM917517:TBN917517 TLI917517:TLJ917517 TVE917517:TVF917517 UFA917517:UFB917517 UOW917517:UOX917517 UYS917517:UYT917517 VIO917517:VIP917517 VSK917517:VSL917517 WCG917517:WCH917517 WMC917517:WMD917517 WVY917517:WVZ917517 Q983053:R983053 JM983053:JN983053 TI983053:TJ983053 ADE983053:ADF983053 ANA983053:ANB983053 AWW983053:AWX983053 BGS983053:BGT983053 BQO983053:BQP983053 CAK983053:CAL983053 CKG983053:CKH983053 CUC983053:CUD983053 DDY983053:DDZ983053 DNU983053:DNV983053 DXQ983053:DXR983053 EHM983053:EHN983053 ERI983053:ERJ983053 FBE983053:FBF983053 FLA983053:FLB983053 FUW983053:FUX983053 GES983053:GET983053 GOO983053:GOP983053 GYK983053:GYL983053 HIG983053:HIH983053 HSC983053:HSD983053 IBY983053:IBZ983053 ILU983053:ILV983053 IVQ983053:IVR983053 JFM983053:JFN983053 JPI983053:JPJ983053 JZE983053:JZF983053 KJA983053:KJB983053 KSW983053:KSX983053 LCS983053:LCT983053 LMO983053:LMP983053 LWK983053:LWL983053 MGG983053:MGH983053 MQC983053:MQD983053 MZY983053:MZZ983053 NJU983053:NJV983053 NTQ983053:NTR983053 ODM983053:ODN983053 ONI983053:ONJ983053 OXE983053:OXF983053 PHA983053:PHB983053 PQW983053:PQX983053 QAS983053:QAT983053 QKO983053:QKP983053 QUK983053:QUL983053 REG983053:REH983053 ROC983053:ROD983053 RXY983053:RXZ983053 SHU983053:SHV983053 SRQ983053:SRR983053 TBM983053:TBN983053 TLI983053:TLJ983053 TVE983053:TVF983053 UFA983053:UFB983053 UOW983053:UOX983053 UYS983053:UYT983053 VIO983053:VIP983053 VSK983053:VSL983053 WCG983053:WCH983053 WMC983053:WMD983053 WVY983053:WVZ983053" xr:uid="{00000000-0002-0000-0400-000003000000}">
      <formula1>0</formula1>
      <formula2>1</formula2>
    </dataValidation>
    <dataValidation type="decimal" operator="greaterThanOrEqual" allowBlank="1" showInputMessage="1" showErrorMessage="1" errorTitle="Valor não permitido" error="Digite um percentual entre 0% e 100%." promptTitle="Valores comuns:" prompt="Normalmente entre 2 e 5%." sqref="Q14:R14 JM14:JN14 TI14:TJ14 ADE14:ADF14 ANA14:ANB14 AWW14:AWX14 BGS14:BGT14 BQO14:BQP14 CAK14:CAL14 CKG14:CKH14 CUC14:CUD14 DDY14:DDZ14 DNU14:DNV14 DXQ14:DXR14 EHM14:EHN14 ERI14:ERJ14 FBE14:FBF14 FLA14:FLB14 FUW14:FUX14 GES14:GET14 GOO14:GOP14 GYK14:GYL14 HIG14:HIH14 HSC14:HSD14 IBY14:IBZ14 ILU14:ILV14 IVQ14:IVR14 JFM14:JFN14 JPI14:JPJ14 JZE14:JZF14 KJA14:KJB14 KSW14:KSX14 LCS14:LCT14 LMO14:LMP14 LWK14:LWL14 MGG14:MGH14 MQC14:MQD14 MZY14:MZZ14 NJU14:NJV14 NTQ14:NTR14 ODM14:ODN14 ONI14:ONJ14 OXE14:OXF14 PHA14:PHB14 PQW14:PQX14 QAS14:QAT14 QKO14:QKP14 QUK14:QUL14 REG14:REH14 ROC14:ROD14 RXY14:RXZ14 SHU14:SHV14 SRQ14:SRR14 TBM14:TBN14 TLI14:TLJ14 TVE14:TVF14 UFA14:UFB14 UOW14:UOX14 UYS14:UYT14 VIO14:VIP14 VSK14:VSL14 WCG14:WCH14 WMC14:WMD14 WVY14:WVZ14 Q65550:R65550 JM65550:JN65550 TI65550:TJ65550 ADE65550:ADF65550 ANA65550:ANB65550 AWW65550:AWX65550 BGS65550:BGT65550 BQO65550:BQP65550 CAK65550:CAL65550 CKG65550:CKH65550 CUC65550:CUD65550 DDY65550:DDZ65550 DNU65550:DNV65550 DXQ65550:DXR65550 EHM65550:EHN65550 ERI65550:ERJ65550 FBE65550:FBF65550 FLA65550:FLB65550 FUW65550:FUX65550 GES65550:GET65550 GOO65550:GOP65550 GYK65550:GYL65550 HIG65550:HIH65550 HSC65550:HSD65550 IBY65550:IBZ65550 ILU65550:ILV65550 IVQ65550:IVR65550 JFM65550:JFN65550 JPI65550:JPJ65550 JZE65550:JZF65550 KJA65550:KJB65550 KSW65550:KSX65550 LCS65550:LCT65550 LMO65550:LMP65550 LWK65550:LWL65550 MGG65550:MGH65550 MQC65550:MQD65550 MZY65550:MZZ65550 NJU65550:NJV65550 NTQ65550:NTR65550 ODM65550:ODN65550 ONI65550:ONJ65550 OXE65550:OXF65550 PHA65550:PHB65550 PQW65550:PQX65550 QAS65550:QAT65550 QKO65550:QKP65550 QUK65550:QUL65550 REG65550:REH65550 ROC65550:ROD65550 RXY65550:RXZ65550 SHU65550:SHV65550 SRQ65550:SRR65550 TBM65550:TBN65550 TLI65550:TLJ65550 TVE65550:TVF65550 UFA65550:UFB65550 UOW65550:UOX65550 UYS65550:UYT65550 VIO65550:VIP65550 VSK65550:VSL65550 WCG65550:WCH65550 WMC65550:WMD65550 WVY65550:WVZ65550 Q131086:R131086 JM131086:JN131086 TI131086:TJ131086 ADE131086:ADF131086 ANA131086:ANB131086 AWW131086:AWX131086 BGS131086:BGT131086 BQO131086:BQP131086 CAK131086:CAL131086 CKG131086:CKH131086 CUC131086:CUD131086 DDY131086:DDZ131086 DNU131086:DNV131086 DXQ131086:DXR131086 EHM131086:EHN131086 ERI131086:ERJ131086 FBE131086:FBF131086 FLA131086:FLB131086 FUW131086:FUX131086 GES131086:GET131086 GOO131086:GOP131086 GYK131086:GYL131086 HIG131086:HIH131086 HSC131086:HSD131086 IBY131086:IBZ131086 ILU131086:ILV131086 IVQ131086:IVR131086 JFM131086:JFN131086 JPI131086:JPJ131086 JZE131086:JZF131086 KJA131086:KJB131086 KSW131086:KSX131086 LCS131086:LCT131086 LMO131086:LMP131086 LWK131086:LWL131086 MGG131086:MGH131086 MQC131086:MQD131086 MZY131086:MZZ131086 NJU131086:NJV131086 NTQ131086:NTR131086 ODM131086:ODN131086 ONI131086:ONJ131086 OXE131086:OXF131086 PHA131086:PHB131086 PQW131086:PQX131086 QAS131086:QAT131086 QKO131086:QKP131086 QUK131086:QUL131086 REG131086:REH131086 ROC131086:ROD131086 RXY131086:RXZ131086 SHU131086:SHV131086 SRQ131086:SRR131086 TBM131086:TBN131086 TLI131086:TLJ131086 TVE131086:TVF131086 UFA131086:UFB131086 UOW131086:UOX131086 UYS131086:UYT131086 VIO131086:VIP131086 VSK131086:VSL131086 WCG131086:WCH131086 WMC131086:WMD131086 WVY131086:WVZ131086 Q196622:R196622 JM196622:JN196622 TI196622:TJ196622 ADE196622:ADF196622 ANA196622:ANB196622 AWW196622:AWX196622 BGS196622:BGT196622 BQO196622:BQP196622 CAK196622:CAL196622 CKG196622:CKH196622 CUC196622:CUD196622 DDY196622:DDZ196622 DNU196622:DNV196622 DXQ196622:DXR196622 EHM196622:EHN196622 ERI196622:ERJ196622 FBE196622:FBF196622 FLA196622:FLB196622 FUW196622:FUX196622 GES196622:GET196622 GOO196622:GOP196622 GYK196622:GYL196622 HIG196622:HIH196622 HSC196622:HSD196622 IBY196622:IBZ196622 ILU196622:ILV196622 IVQ196622:IVR196622 JFM196622:JFN196622 JPI196622:JPJ196622 JZE196622:JZF196622 KJA196622:KJB196622 KSW196622:KSX196622 LCS196622:LCT196622 LMO196622:LMP196622 LWK196622:LWL196622 MGG196622:MGH196622 MQC196622:MQD196622 MZY196622:MZZ196622 NJU196622:NJV196622 NTQ196622:NTR196622 ODM196622:ODN196622 ONI196622:ONJ196622 OXE196622:OXF196622 PHA196622:PHB196622 PQW196622:PQX196622 QAS196622:QAT196622 QKO196622:QKP196622 QUK196622:QUL196622 REG196622:REH196622 ROC196622:ROD196622 RXY196622:RXZ196622 SHU196622:SHV196622 SRQ196622:SRR196622 TBM196622:TBN196622 TLI196622:TLJ196622 TVE196622:TVF196622 UFA196622:UFB196622 UOW196622:UOX196622 UYS196622:UYT196622 VIO196622:VIP196622 VSK196622:VSL196622 WCG196622:WCH196622 WMC196622:WMD196622 WVY196622:WVZ196622 Q262158:R262158 JM262158:JN262158 TI262158:TJ262158 ADE262158:ADF262158 ANA262158:ANB262158 AWW262158:AWX262158 BGS262158:BGT262158 BQO262158:BQP262158 CAK262158:CAL262158 CKG262158:CKH262158 CUC262158:CUD262158 DDY262158:DDZ262158 DNU262158:DNV262158 DXQ262158:DXR262158 EHM262158:EHN262158 ERI262158:ERJ262158 FBE262158:FBF262158 FLA262158:FLB262158 FUW262158:FUX262158 GES262158:GET262158 GOO262158:GOP262158 GYK262158:GYL262158 HIG262158:HIH262158 HSC262158:HSD262158 IBY262158:IBZ262158 ILU262158:ILV262158 IVQ262158:IVR262158 JFM262158:JFN262158 JPI262158:JPJ262158 JZE262158:JZF262158 KJA262158:KJB262158 KSW262158:KSX262158 LCS262158:LCT262158 LMO262158:LMP262158 LWK262158:LWL262158 MGG262158:MGH262158 MQC262158:MQD262158 MZY262158:MZZ262158 NJU262158:NJV262158 NTQ262158:NTR262158 ODM262158:ODN262158 ONI262158:ONJ262158 OXE262158:OXF262158 PHA262158:PHB262158 PQW262158:PQX262158 QAS262158:QAT262158 QKO262158:QKP262158 QUK262158:QUL262158 REG262158:REH262158 ROC262158:ROD262158 RXY262158:RXZ262158 SHU262158:SHV262158 SRQ262158:SRR262158 TBM262158:TBN262158 TLI262158:TLJ262158 TVE262158:TVF262158 UFA262158:UFB262158 UOW262158:UOX262158 UYS262158:UYT262158 VIO262158:VIP262158 VSK262158:VSL262158 WCG262158:WCH262158 WMC262158:WMD262158 WVY262158:WVZ262158 Q327694:R327694 JM327694:JN327694 TI327694:TJ327694 ADE327694:ADF327694 ANA327694:ANB327694 AWW327694:AWX327694 BGS327694:BGT327694 BQO327694:BQP327694 CAK327694:CAL327694 CKG327694:CKH327694 CUC327694:CUD327694 DDY327694:DDZ327694 DNU327694:DNV327694 DXQ327694:DXR327694 EHM327694:EHN327694 ERI327694:ERJ327694 FBE327694:FBF327694 FLA327694:FLB327694 FUW327694:FUX327694 GES327694:GET327694 GOO327694:GOP327694 GYK327694:GYL327694 HIG327694:HIH327694 HSC327694:HSD327694 IBY327694:IBZ327694 ILU327694:ILV327694 IVQ327694:IVR327694 JFM327694:JFN327694 JPI327694:JPJ327694 JZE327694:JZF327694 KJA327694:KJB327694 KSW327694:KSX327694 LCS327694:LCT327694 LMO327694:LMP327694 LWK327694:LWL327694 MGG327694:MGH327694 MQC327694:MQD327694 MZY327694:MZZ327694 NJU327694:NJV327694 NTQ327694:NTR327694 ODM327694:ODN327694 ONI327694:ONJ327694 OXE327694:OXF327694 PHA327694:PHB327694 PQW327694:PQX327694 QAS327694:QAT327694 QKO327694:QKP327694 QUK327694:QUL327694 REG327694:REH327694 ROC327694:ROD327694 RXY327694:RXZ327694 SHU327694:SHV327694 SRQ327694:SRR327694 TBM327694:TBN327694 TLI327694:TLJ327694 TVE327694:TVF327694 UFA327694:UFB327694 UOW327694:UOX327694 UYS327694:UYT327694 VIO327694:VIP327694 VSK327694:VSL327694 WCG327694:WCH327694 WMC327694:WMD327694 WVY327694:WVZ327694 Q393230:R393230 JM393230:JN393230 TI393230:TJ393230 ADE393230:ADF393230 ANA393230:ANB393230 AWW393230:AWX393230 BGS393230:BGT393230 BQO393230:BQP393230 CAK393230:CAL393230 CKG393230:CKH393230 CUC393230:CUD393230 DDY393230:DDZ393230 DNU393230:DNV393230 DXQ393230:DXR393230 EHM393230:EHN393230 ERI393230:ERJ393230 FBE393230:FBF393230 FLA393230:FLB393230 FUW393230:FUX393230 GES393230:GET393230 GOO393230:GOP393230 GYK393230:GYL393230 HIG393230:HIH393230 HSC393230:HSD393230 IBY393230:IBZ393230 ILU393230:ILV393230 IVQ393230:IVR393230 JFM393230:JFN393230 JPI393230:JPJ393230 JZE393230:JZF393230 KJA393230:KJB393230 KSW393230:KSX393230 LCS393230:LCT393230 LMO393230:LMP393230 LWK393230:LWL393230 MGG393230:MGH393230 MQC393230:MQD393230 MZY393230:MZZ393230 NJU393230:NJV393230 NTQ393230:NTR393230 ODM393230:ODN393230 ONI393230:ONJ393230 OXE393230:OXF393230 PHA393230:PHB393230 PQW393230:PQX393230 QAS393230:QAT393230 QKO393230:QKP393230 QUK393230:QUL393230 REG393230:REH393230 ROC393230:ROD393230 RXY393230:RXZ393230 SHU393230:SHV393230 SRQ393230:SRR393230 TBM393230:TBN393230 TLI393230:TLJ393230 TVE393230:TVF393230 UFA393230:UFB393230 UOW393230:UOX393230 UYS393230:UYT393230 VIO393230:VIP393230 VSK393230:VSL393230 WCG393230:WCH393230 WMC393230:WMD393230 WVY393230:WVZ393230 Q458766:R458766 JM458766:JN458766 TI458766:TJ458766 ADE458766:ADF458766 ANA458766:ANB458766 AWW458766:AWX458766 BGS458766:BGT458766 BQO458766:BQP458766 CAK458766:CAL458766 CKG458766:CKH458766 CUC458766:CUD458766 DDY458766:DDZ458766 DNU458766:DNV458766 DXQ458766:DXR458766 EHM458766:EHN458766 ERI458766:ERJ458766 FBE458766:FBF458766 FLA458766:FLB458766 FUW458766:FUX458766 GES458766:GET458766 GOO458766:GOP458766 GYK458766:GYL458766 HIG458766:HIH458766 HSC458766:HSD458766 IBY458766:IBZ458766 ILU458766:ILV458766 IVQ458766:IVR458766 JFM458766:JFN458766 JPI458766:JPJ458766 JZE458766:JZF458766 KJA458766:KJB458766 KSW458766:KSX458766 LCS458766:LCT458766 LMO458766:LMP458766 LWK458766:LWL458766 MGG458766:MGH458766 MQC458766:MQD458766 MZY458766:MZZ458766 NJU458766:NJV458766 NTQ458766:NTR458766 ODM458766:ODN458766 ONI458766:ONJ458766 OXE458766:OXF458766 PHA458766:PHB458766 PQW458766:PQX458766 QAS458766:QAT458766 QKO458766:QKP458766 QUK458766:QUL458766 REG458766:REH458766 ROC458766:ROD458766 RXY458766:RXZ458766 SHU458766:SHV458766 SRQ458766:SRR458766 TBM458766:TBN458766 TLI458766:TLJ458766 TVE458766:TVF458766 UFA458766:UFB458766 UOW458766:UOX458766 UYS458766:UYT458766 VIO458766:VIP458766 VSK458766:VSL458766 WCG458766:WCH458766 WMC458766:WMD458766 WVY458766:WVZ458766 Q524302:R524302 JM524302:JN524302 TI524302:TJ524302 ADE524302:ADF524302 ANA524302:ANB524302 AWW524302:AWX524302 BGS524302:BGT524302 BQO524302:BQP524302 CAK524302:CAL524302 CKG524302:CKH524302 CUC524302:CUD524302 DDY524302:DDZ524302 DNU524302:DNV524302 DXQ524302:DXR524302 EHM524302:EHN524302 ERI524302:ERJ524302 FBE524302:FBF524302 FLA524302:FLB524302 FUW524302:FUX524302 GES524302:GET524302 GOO524302:GOP524302 GYK524302:GYL524302 HIG524302:HIH524302 HSC524302:HSD524302 IBY524302:IBZ524302 ILU524302:ILV524302 IVQ524302:IVR524302 JFM524302:JFN524302 JPI524302:JPJ524302 JZE524302:JZF524302 KJA524302:KJB524302 KSW524302:KSX524302 LCS524302:LCT524302 LMO524302:LMP524302 LWK524302:LWL524302 MGG524302:MGH524302 MQC524302:MQD524302 MZY524302:MZZ524302 NJU524302:NJV524302 NTQ524302:NTR524302 ODM524302:ODN524302 ONI524302:ONJ524302 OXE524302:OXF524302 PHA524302:PHB524302 PQW524302:PQX524302 QAS524302:QAT524302 QKO524302:QKP524302 QUK524302:QUL524302 REG524302:REH524302 ROC524302:ROD524302 RXY524302:RXZ524302 SHU524302:SHV524302 SRQ524302:SRR524302 TBM524302:TBN524302 TLI524302:TLJ524302 TVE524302:TVF524302 UFA524302:UFB524302 UOW524302:UOX524302 UYS524302:UYT524302 VIO524302:VIP524302 VSK524302:VSL524302 WCG524302:WCH524302 WMC524302:WMD524302 WVY524302:WVZ524302 Q589838:R589838 JM589838:JN589838 TI589838:TJ589838 ADE589838:ADF589838 ANA589838:ANB589838 AWW589838:AWX589838 BGS589838:BGT589838 BQO589838:BQP589838 CAK589838:CAL589838 CKG589838:CKH589838 CUC589838:CUD589838 DDY589838:DDZ589838 DNU589838:DNV589838 DXQ589838:DXR589838 EHM589838:EHN589838 ERI589838:ERJ589838 FBE589838:FBF589838 FLA589838:FLB589838 FUW589838:FUX589838 GES589838:GET589838 GOO589838:GOP589838 GYK589838:GYL589838 HIG589838:HIH589838 HSC589838:HSD589838 IBY589838:IBZ589838 ILU589838:ILV589838 IVQ589838:IVR589838 JFM589838:JFN589838 JPI589838:JPJ589838 JZE589838:JZF589838 KJA589838:KJB589838 KSW589838:KSX589838 LCS589838:LCT589838 LMO589838:LMP589838 LWK589838:LWL589838 MGG589838:MGH589838 MQC589838:MQD589838 MZY589838:MZZ589838 NJU589838:NJV589838 NTQ589838:NTR589838 ODM589838:ODN589838 ONI589838:ONJ589838 OXE589838:OXF589838 PHA589838:PHB589838 PQW589838:PQX589838 QAS589838:QAT589838 QKO589838:QKP589838 QUK589838:QUL589838 REG589838:REH589838 ROC589838:ROD589838 RXY589838:RXZ589838 SHU589838:SHV589838 SRQ589838:SRR589838 TBM589838:TBN589838 TLI589838:TLJ589838 TVE589838:TVF589838 UFA589838:UFB589838 UOW589838:UOX589838 UYS589838:UYT589838 VIO589838:VIP589838 VSK589838:VSL589838 WCG589838:WCH589838 WMC589838:WMD589838 WVY589838:WVZ589838 Q655374:R655374 JM655374:JN655374 TI655374:TJ655374 ADE655374:ADF655374 ANA655374:ANB655374 AWW655374:AWX655374 BGS655374:BGT655374 BQO655374:BQP655374 CAK655374:CAL655374 CKG655374:CKH655374 CUC655374:CUD655374 DDY655374:DDZ655374 DNU655374:DNV655374 DXQ655374:DXR655374 EHM655374:EHN655374 ERI655374:ERJ655374 FBE655374:FBF655374 FLA655374:FLB655374 FUW655374:FUX655374 GES655374:GET655374 GOO655374:GOP655374 GYK655374:GYL655374 HIG655374:HIH655374 HSC655374:HSD655374 IBY655374:IBZ655374 ILU655374:ILV655374 IVQ655374:IVR655374 JFM655374:JFN655374 JPI655374:JPJ655374 JZE655374:JZF655374 KJA655374:KJB655374 KSW655374:KSX655374 LCS655374:LCT655374 LMO655374:LMP655374 LWK655374:LWL655374 MGG655374:MGH655374 MQC655374:MQD655374 MZY655374:MZZ655374 NJU655374:NJV655374 NTQ655374:NTR655374 ODM655374:ODN655374 ONI655374:ONJ655374 OXE655374:OXF655374 PHA655374:PHB655374 PQW655374:PQX655374 QAS655374:QAT655374 QKO655374:QKP655374 QUK655374:QUL655374 REG655374:REH655374 ROC655374:ROD655374 RXY655374:RXZ655374 SHU655374:SHV655374 SRQ655374:SRR655374 TBM655374:TBN655374 TLI655374:TLJ655374 TVE655374:TVF655374 UFA655374:UFB655374 UOW655374:UOX655374 UYS655374:UYT655374 VIO655374:VIP655374 VSK655374:VSL655374 WCG655374:WCH655374 WMC655374:WMD655374 WVY655374:WVZ655374 Q720910:R720910 JM720910:JN720910 TI720910:TJ720910 ADE720910:ADF720910 ANA720910:ANB720910 AWW720910:AWX720910 BGS720910:BGT720910 BQO720910:BQP720910 CAK720910:CAL720910 CKG720910:CKH720910 CUC720910:CUD720910 DDY720910:DDZ720910 DNU720910:DNV720910 DXQ720910:DXR720910 EHM720910:EHN720910 ERI720910:ERJ720910 FBE720910:FBF720910 FLA720910:FLB720910 FUW720910:FUX720910 GES720910:GET720910 GOO720910:GOP720910 GYK720910:GYL720910 HIG720910:HIH720910 HSC720910:HSD720910 IBY720910:IBZ720910 ILU720910:ILV720910 IVQ720910:IVR720910 JFM720910:JFN720910 JPI720910:JPJ720910 JZE720910:JZF720910 KJA720910:KJB720910 KSW720910:KSX720910 LCS720910:LCT720910 LMO720910:LMP720910 LWK720910:LWL720910 MGG720910:MGH720910 MQC720910:MQD720910 MZY720910:MZZ720910 NJU720910:NJV720910 NTQ720910:NTR720910 ODM720910:ODN720910 ONI720910:ONJ720910 OXE720910:OXF720910 PHA720910:PHB720910 PQW720910:PQX720910 QAS720910:QAT720910 QKO720910:QKP720910 QUK720910:QUL720910 REG720910:REH720910 ROC720910:ROD720910 RXY720910:RXZ720910 SHU720910:SHV720910 SRQ720910:SRR720910 TBM720910:TBN720910 TLI720910:TLJ720910 TVE720910:TVF720910 UFA720910:UFB720910 UOW720910:UOX720910 UYS720910:UYT720910 VIO720910:VIP720910 VSK720910:VSL720910 WCG720910:WCH720910 WMC720910:WMD720910 WVY720910:WVZ720910 Q786446:R786446 JM786446:JN786446 TI786446:TJ786446 ADE786446:ADF786446 ANA786446:ANB786446 AWW786446:AWX786446 BGS786446:BGT786446 BQO786446:BQP786446 CAK786446:CAL786446 CKG786446:CKH786446 CUC786446:CUD786446 DDY786446:DDZ786446 DNU786446:DNV786446 DXQ786446:DXR786446 EHM786446:EHN786446 ERI786446:ERJ786446 FBE786446:FBF786446 FLA786446:FLB786446 FUW786446:FUX786446 GES786446:GET786446 GOO786446:GOP786446 GYK786446:GYL786446 HIG786446:HIH786446 HSC786446:HSD786446 IBY786446:IBZ786446 ILU786446:ILV786446 IVQ786446:IVR786446 JFM786446:JFN786446 JPI786446:JPJ786446 JZE786446:JZF786446 KJA786446:KJB786446 KSW786446:KSX786446 LCS786446:LCT786446 LMO786446:LMP786446 LWK786446:LWL786446 MGG786446:MGH786446 MQC786446:MQD786446 MZY786446:MZZ786446 NJU786446:NJV786446 NTQ786446:NTR786446 ODM786446:ODN786446 ONI786446:ONJ786446 OXE786446:OXF786446 PHA786446:PHB786446 PQW786446:PQX786446 QAS786446:QAT786446 QKO786446:QKP786446 QUK786446:QUL786446 REG786446:REH786446 ROC786446:ROD786446 RXY786446:RXZ786446 SHU786446:SHV786446 SRQ786446:SRR786446 TBM786446:TBN786446 TLI786446:TLJ786446 TVE786446:TVF786446 UFA786446:UFB786446 UOW786446:UOX786446 UYS786446:UYT786446 VIO786446:VIP786446 VSK786446:VSL786446 WCG786446:WCH786446 WMC786446:WMD786446 WVY786446:WVZ786446 Q851982:R851982 JM851982:JN851982 TI851982:TJ851982 ADE851982:ADF851982 ANA851982:ANB851982 AWW851982:AWX851982 BGS851982:BGT851982 BQO851982:BQP851982 CAK851982:CAL851982 CKG851982:CKH851982 CUC851982:CUD851982 DDY851982:DDZ851982 DNU851982:DNV851982 DXQ851982:DXR851982 EHM851982:EHN851982 ERI851982:ERJ851982 FBE851982:FBF851982 FLA851982:FLB851982 FUW851982:FUX851982 GES851982:GET851982 GOO851982:GOP851982 GYK851982:GYL851982 HIG851982:HIH851982 HSC851982:HSD851982 IBY851982:IBZ851982 ILU851982:ILV851982 IVQ851982:IVR851982 JFM851982:JFN851982 JPI851982:JPJ851982 JZE851982:JZF851982 KJA851982:KJB851982 KSW851982:KSX851982 LCS851982:LCT851982 LMO851982:LMP851982 LWK851982:LWL851982 MGG851982:MGH851982 MQC851982:MQD851982 MZY851982:MZZ851982 NJU851982:NJV851982 NTQ851982:NTR851982 ODM851982:ODN851982 ONI851982:ONJ851982 OXE851982:OXF851982 PHA851982:PHB851982 PQW851982:PQX851982 QAS851982:QAT851982 QKO851982:QKP851982 QUK851982:QUL851982 REG851982:REH851982 ROC851982:ROD851982 RXY851982:RXZ851982 SHU851982:SHV851982 SRQ851982:SRR851982 TBM851982:TBN851982 TLI851982:TLJ851982 TVE851982:TVF851982 UFA851982:UFB851982 UOW851982:UOX851982 UYS851982:UYT851982 VIO851982:VIP851982 VSK851982:VSL851982 WCG851982:WCH851982 WMC851982:WMD851982 WVY851982:WVZ851982 Q917518:R917518 JM917518:JN917518 TI917518:TJ917518 ADE917518:ADF917518 ANA917518:ANB917518 AWW917518:AWX917518 BGS917518:BGT917518 BQO917518:BQP917518 CAK917518:CAL917518 CKG917518:CKH917518 CUC917518:CUD917518 DDY917518:DDZ917518 DNU917518:DNV917518 DXQ917518:DXR917518 EHM917518:EHN917518 ERI917518:ERJ917518 FBE917518:FBF917518 FLA917518:FLB917518 FUW917518:FUX917518 GES917518:GET917518 GOO917518:GOP917518 GYK917518:GYL917518 HIG917518:HIH917518 HSC917518:HSD917518 IBY917518:IBZ917518 ILU917518:ILV917518 IVQ917518:IVR917518 JFM917518:JFN917518 JPI917518:JPJ917518 JZE917518:JZF917518 KJA917518:KJB917518 KSW917518:KSX917518 LCS917518:LCT917518 LMO917518:LMP917518 LWK917518:LWL917518 MGG917518:MGH917518 MQC917518:MQD917518 MZY917518:MZZ917518 NJU917518:NJV917518 NTQ917518:NTR917518 ODM917518:ODN917518 ONI917518:ONJ917518 OXE917518:OXF917518 PHA917518:PHB917518 PQW917518:PQX917518 QAS917518:QAT917518 QKO917518:QKP917518 QUK917518:QUL917518 REG917518:REH917518 ROC917518:ROD917518 RXY917518:RXZ917518 SHU917518:SHV917518 SRQ917518:SRR917518 TBM917518:TBN917518 TLI917518:TLJ917518 TVE917518:TVF917518 UFA917518:UFB917518 UOW917518:UOX917518 UYS917518:UYT917518 VIO917518:VIP917518 VSK917518:VSL917518 WCG917518:WCH917518 WMC917518:WMD917518 WVY917518:WVZ917518 Q983054:R983054 JM983054:JN983054 TI983054:TJ983054 ADE983054:ADF983054 ANA983054:ANB983054 AWW983054:AWX983054 BGS983054:BGT983054 BQO983054:BQP983054 CAK983054:CAL983054 CKG983054:CKH983054 CUC983054:CUD983054 DDY983054:DDZ983054 DNU983054:DNV983054 DXQ983054:DXR983054 EHM983054:EHN983054 ERI983054:ERJ983054 FBE983054:FBF983054 FLA983054:FLB983054 FUW983054:FUX983054 GES983054:GET983054 GOO983054:GOP983054 GYK983054:GYL983054 HIG983054:HIH983054 HSC983054:HSD983054 IBY983054:IBZ983054 ILU983054:ILV983054 IVQ983054:IVR983054 JFM983054:JFN983054 JPI983054:JPJ983054 JZE983054:JZF983054 KJA983054:KJB983054 KSW983054:KSX983054 LCS983054:LCT983054 LMO983054:LMP983054 LWK983054:LWL983054 MGG983054:MGH983054 MQC983054:MQD983054 MZY983054:MZZ983054 NJU983054:NJV983054 NTQ983054:NTR983054 ODM983054:ODN983054 ONI983054:ONJ983054 OXE983054:OXF983054 PHA983054:PHB983054 PQW983054:PQX983054 QAS983054:QAT983054 QKO983054:QKP983054 QUK983054:QUL983054 REG983054:REH983054 ROC983054:ROD983054 RXY983054:RXZ983054 SHU983054:SHV983054 SRQ983054:SRR983054 TBM983054:TBN983054 TLI983054:TLJ983054 TVE983054:TVF983054 UFA983054:UFB983054 UOW983054:UOX983054 UYS983054:UYT983054 VIO983054:VIP983054 VSK983054:VSL983054 WCG983054:WCH983054 WMC983054:WMD983054 WVY983054:WVZ983054" xr:uid="{00000000-0002-0000-0400-000004000000}">
      <formula1>0</formula1>
    </dataValidation>
    <dataValidation type="decimal" allowBlank="1" showInputMessage="1" showErrorMessage="1" errorTitle="Erro de valores" error="Digite um valor entre 0% e 100%" sqref="N18:N23 JJ18:JJ23 TF18:TF23 ADB18:ADB23 AMX18:AMX23 AWT18:AWT23 BGP18:BGP23 BQL18:BQL23 CAH18:CAH23 CKD18:CKD23 CTZ18:CTZ23 DDV18:DDV23 DNR18:DNR23 DXN18:DXN23 EHJ18:EHJ23 ERF18:ERF23 FBB18:FBB23 FKX18:FKX23 FUT18:FUT23 GEP18:GEP23 GOL18:GOL23 GYH18:GYH23 HID18:HID23 HRZ18:HRZ23 IBV18:IBV23 ILR18:ILR23 IVN18:IVN23 JFJ18:JFJ23 JPF18:JPF23 JZB18:JZB23 KIX18:KIX23 KST18:KST23 LCP18:LCP23 LML18:LML23 LWH18:LWH23 MGD18:MGD23 MPZ18:MPZ23 MZV18:MZV23 NJR18:NJR23 NTN18:NTN23 ODJ18:ODJ23 ONF18:ONF23 OXB18:OXB23 PGX18:PGX23 PQT18:PQT23 QAP18:QAP23 QKL18:QKL23 QUH18:QUH23 RED18:RED23 RNZ18:RNZ23 RXV18:RXV23 SHR18:SHR23 SRN18:SRN23 TBJ18:TBJ23 TLF18:TLF23 TVB18:TVB23 UEX18:UEX23 UOT18:UOT23 UYP18:UYP23 VIL18:VIL23 VSH18:VSH23 WCD18:WCD23 WLZ18:WLZ23 WVV18:WVV23 N65554:N65559 JJ65554:JJ65559 TF65554:TF65559 ADB65554:ADB65559 AMX65554:AMX65559 AWT65554:AWT65559 BGP65554:BGP65559 BQL65554:BQL65559 CAH65554:CAH65559 CKD65554:CKD65559 CTZ65554:CTZ65559 DDV65554:DDV65559 DNR65554:DNR65559 DXN65554:DXN65559 EHJ65554:EHJ65559 ERF65554:ERF65559 FBB65554:FBB65559 FKX65554:FKX65559 FUT65554:FUT65559 GEP65554:GEP65559 GOL65554:GOL65559 GYH65554:GYH65559 HID65554:HID65559 HRZ65554:HRZ65559 IBV65554:IBV65559 ILR65554:ILR65559 IVN65554:IVN65559 JFJ65554:JFJ65559 JPF65554:JPF65559 JZB65554:JZB65559 KIX65554:KIX65559 KST65554:KST65559 LCP65554:LCP65559 LML65554:LML65559 LWH65554:LWH65559 MGD65554:MGD65559 MPZ65554:MPZ65559 MZV65554:MZV65559 NJR65554:NJR65559 NTN65554:NTN65559 ODJ65554:ODJ65559 ONF65554:ONF65559 OXB65554:OXB65559 PGX65554:PGX65559 PQT65554:PQT65559 QAP65554:QAP65559 QKL65554:QKL65559 QUH65554:QUH65559 RED65554:RED65559 RNZ65554:RNZ65559 RXV65554:RXV65559 SHR65554:SHR65559 SRN65554:SRN65559 TBJ65554:TBJ65559 TLF65554:TLF65559 TVB65554:TVB65559 UEX65554:UEX65559 UOT65554:UOT65559 UYP65554:UYP65559 VIL65554:VIL65559 VSH65554:VSH65559 WCD65554:WCD65559 WLZ65554:WLZ65559 WVV65554:WVV65559 N131090:N131095 JJ131090:JJ131095 TF131090:TF131095 ADB131090:ADB131095 AMX131090:AMX131095 AWT131090:AWT131095 BGP131090:BGP131095 BQL131090:BQL131095 CAH131090:CAH131095 CKD131090:CKD131095 CTZ131090:CTZ131095 DDV131090:DDV131095 DNR131090:DNR131095 DXN131090:DXN131095 EHJ131090:EHJ131095 ERF131090:ERF131095 FBB131090:FBB131095 FKX131090:FKX131095 FUT131090:FUT131095 GEP131090:GEP131095 GOL131090:GOL131095 GYH131090:GYH131095 HID131090:HID131095 HRZ131090:HRZ131095 IBV131090:IBV131095 ILR131090:ILR131095 IVN131090:IVN131095 JFJ131090:JFJ131095 JPF131090:JPF131095 JZB131090:JZB131095 KIX131090:KIX131095 KST131090:KST131095 LCP131090:LCP131095 LML131090:LML131095 LWH131090:LWH131095 MGD131090:MGD131095 MPZ131090:MPZ131095 MZV131090:MZV131095 NJR131090:NJR131095 NTN131090:NTN131095 ODJ131090:ODJ131095 ONF131090:ONF131095 OXB131090:OXB131095 PGX131090:PGX131095 PQT131090:PQT131095 QAP131090:QAP131095 QKL131090:QKL131095 QUH131090:QUH131095 RED131090:RED131095 RNZ131090:RNZ131095 RXV131090:RXV131095 SHR131090:SHR131095 SRN131090:SRN131095 TBJ131090:TBJ131095 TLF131090:TLF131095 TVB131090:TVB131095 UEX131090:UEX131095 UOT131090:UOT131095 UYP131090:UYP131095 VIL131090:VIL131095 VSH131090:VSH131095 WCD131090:WCD131095 WLZ131090:WLZ131095 WVV131090:WVV131095 N196626:N196631 JJ196626:JJ196631 TF196626:TF196631 ADB196626:ADB196631 AMX196626:AMX196631 AWT196626:AWT196631 BGP196626:BGP196631 BQL196626:BQL196631 CAH196626:CAH196631 CKD196626:CKD196631 CTZ196626:CTZ196631 DDV196626:DDV196631 DNR196626:DNR196631 DXN196626:DXN196631 EHJ196626:EHJ196631 ERF196626:ERF196631 FBB196626:FBB196631 FKX196626:FKX196631 FUT196626:FUT196631 GEP196626:GEP196631 GOL196626:GOL196631 GYH196626:GYH196631 HID196626:HID196631 HRZ196626:HRZ196631 IBV196626:IBV196631 ILR196626:ILR196631 IVN196626:IVN196631 JFJ196626:JFJ196631 JPF196626:JPF196631 JZB196626:JZB196631 KIX196626:KIX196631 KST196626:KST196631 LCP196626:LCP196631 LML196626:LML196631 LWH196626:LWH196631 MGD196626:MGD196631 MPZ196626:MPZ196631 MZV196626:MZV196631 NJR196626:NJR196631 NTN196626:NTN196631 ODJ196626:ODJ196631 ONF196626:ONF196631 OXB196626:OXB196631 PGX196626:PGX196631 PQT196626:PQT196631 QAP196626:QAP196631 QKL196626:QKL196631 QUH196626:QUH196631 RED196626:RED196631 RNZ196626:RNZ196631 RXV196626:RXV196631 SHR196626:SHR196631 SRN196626:SRN196631 TBJ196626:TBJ196631 TLF196626:TLF196631 TVB196626:TVB196631 UEX196626:UEX196631 UOT196626:UOT196631 UYP196626:UYP196631 VIL196626:VIL196631 VSH196626:VSH196631 WCD196626:WCD196631 WLZ196626:WLZ196631 WVV196626:WVV196631 N262162:N262167 JJ262162:JJ262167 TF262162:TF262167 ADB262162:ADB262167 AMX262162:AMX262167 AWT262162:AWT262167 BGP262162:BGP262167 BQL262162:BQL262167 CAH262162:CAH262167 CKD262162:CKD262167 CTZ262162:CTZ262167 DDV262162:DDV262167 DNR262162:DNR262167 DXN262162:DXN262167 EHJ262162:EHJ262167 ERF262162:ERF262167 FBB262162:FBB262167 FKX262162:FKX262167 FUT262162:FUT262167 GEP262162:GEP262167 GOL262162:GOL262167 GYH262162:GYH262167 HID262162:HID262167 HRZ262162:HRZ262167 IBV262162:IBV262167 ILR262162:ILR262167 IVN262162:IVN262167 JFJ262162:JFJ262167 JPF262162:JPF262167 JZB262162:JZB262167 KIX262162:KIX262167 KST262162:KST262167 LCP262162:LCP262167 LML262162:LML262167 LWH262162:LWH262167 MGD262162:MGD262167 MPZ262162:MPZ262167 MZV262162:MZV262167 NJR262162:NJR262167 NTN262162:NTN262167 ODJ262162:ODJ262167 ONF262162:ONF262167 OXB262162:OXB262167 PGX262162:PGX262167 PQT262162:PQT262167 QAP262162:QAP262167 QKL262162:QKL262167 QUH262162:QUH262167 RED262162:RED262167 RNZ262162:RNZ262167 RXV262162:RXV262167 SHR262162:SHR262167 SRN262162:SRN262167 TBJ262162:TBJ262167 TLF262162:TLF262167 TVB262162:TVB262167 UEX262162:UEX262167 UOT262162:UOT262167 UYP262162:UYP262167 VIL262162:VIL262167 VSH262162:VSH262167 WCD262162:WCD262167 WLZ262162:WLZ262167 WVV262162:WVV262167 N327698:N327703 JJ327698:JJ327703 TF327698:TF327703 ADB327698:ADB327703 AMX327698:AMX327703 AWT327698:AWT327703 BGP327698:BGP327703 BQL327698:BQL327703 CAH327698:CAH327703 CKD327698:CKD327703 CTZ327698:CTZ327703 DDV327698:DDV327703 DNR327698:DNR327703 DXN327698:DXN327703 EHJ327698:EHJ327703 ERF327698:ERF327703 FBB327698:FBB327703 FKX327698:FKX327703 FUT327698:FUT327703 GEP327698:GEP327703 GOL327698:GOL327703 GYH327698:GYH327703 HID327698:HID327703 HRZ327698:HRZ327703 IBV327698:IBV327703 ILR327698:ILR327703 IVN327698:IVN327703 JFJ327698:JFJ327703 JPF327698:JPF327703 JZB327698:JZB327703 KIX327698:KIX327703 KST327698:KST327703 LCP327698:LCP327703 LML327698:LML327703 LWH327698:LWH327703 MGD327698:MGD327703 MPZ327698:MPZ327703 MZV327698:MZV327703 NJR327698:NJR327703 NTN327698:NTN327703 ODJ327698:ODJ327703 ONF327698:ONF327703 OXB327698:OXB327703 PGX327698:PGX327703 PQT327698:PQT327703 QAP327698:QAP327703 QKL327698:QKL327703 QUH327698:QUH327703 RED327698:RED327703 RNZ327698:RNZ327703 RXV327698:RXV327703 SHR327698:SHR327703 SRN327698:SRN327703 TBJ327698:TBJ327703 TLF327698:TLF327703 TVB327698:TVB327703 UEX327698:UEX327703 UOT327698:UOT327703 UYP327698:UYP327703 VIL327698:VIL327703 VSH327698:VSH327703 WCD327698:WCD327703 WLZ327698:WLZ327703 WVV327698:WVV327703 N393234:N393239 JJ393234:JJ393239 TF393234:TF393239 ADB393234:ADB393239 AMX393234:AMX393239 AWT393234:AWT393239 BGP393234:BGP393239 BQL393234:BQL393239 CAH393234:CAH393239 CKD393234:CKD393239 CTZ393234:CTZ393239 DDV393234:DDV393239 DNR393234:DNR393239 DXN393234:DXN393239 EHJ393234:EHJ393239 ERF393234:ERF393239 FBB393234:FBB393239 FKX393234:FKX393239 FUT393234:FUT393239 GEP393234:GEP393239 GOL393234:GOL393239 GYH393234:GYH393239 HID393234:HID393239 HRZ393234:HRZ393239 IBV393234:IBV393239 ILR393234:ILR393239 IVN393234:IVN393239 JFJ393234:JFJ393239 JPF393234:JPF393239 JZB393234:JZB393239 KIX393234:KIX393239 KST393234:KST393239 LCP393234:LCP393239 LML393234:LML393239 LWH393234:LWH393239 MGD393234:MGD393239 MPZ393234:MPZ393239 MZV393234:MZV393239 NJR393234:NJR393239 NTN393234:NTN393239 ODJ393234:ODJ393239 ONF393234:ONF393239 OXB393234:OXB393239 PGX393234:PGX393239 PQT393234:PQT393239 QAP393234:QAP393239 QKL393234:QKL393239 QUH393234:QUH393239 RED393234:RED393239 RNZ393234:RNZ393239 RXV393234:RXV393239 SHR393234:SHR393239 SRN393234:SRN393239 TBJ393234:TBJ393239 TLF393234:TLF393239 TVB393234:TVB393239 UEX393234:UEX393239 UOT393234:UOT393239 UYP393234:UYP393239 VIL393234:VIL393239 VSH393234:VSH393239 WCD393234:WCD393239 WLZ393234:WLZ393239 WVV393234:WVV393239 N458770:N458775 JJ458770:JJ458775 TF458770:TF458775 ADB458770:ADB458775 AMX458770:AMX458775 AWT458770:AWT458775 BGP458770:BGP458775 BQL458770:BQL458775 CAH458770:CAH458775 CKD458770:CKD458775 CTZ458770:CTZ458775 DDV458770:DDV458775 DNR458770:DNR458775 DXN458770:DXN458775 EHJ458770:EHJ458775 ERF458770:ERF458775 FBB458770:FBB458775 FKX458770:FKX458775 FUT458770:FUT458775 GEP458770:GEP458775 GOL458770:GOL458775 GYH458770:GYH458775 HID458770:HID458775 HRZ458770:HRZ458775 IBV458770:IBV458775 ILR458770:ILR458775 IVN458770:IVN458775 JFJ458770:JFJ458775 JPF458770:JPF458775 JZB458770:JZB458775 KIX458770:KIX458775 KST458770:KST458775 LCP458770:LCP458775 LML458770:LML458775 LWH458770:LWH458775 MGD458770:MGD458775 MPZ458770:MPZ458775 MZV458770:MZV458775 NJR458770:NJR458775 NTN458770:NTN458775 ODJ458770:ODJ458775 ONF458770:ONF458775 OXB458770:OXB458775 PGX458770:PGX458775 PQT458770:PQT458775 QAP458770:QAP458775 QKL458770:QKL458775 QUH458770:QUH458775 RED458770:RED458775 RNZ458770:RNZ458775 RXV458770:RXV458775 SHR458770:SHR458775 SRN458770:SRN458775 TBJ458770:TBJ458775 TLF458770:TLF458775 TVB458770:TVB458775 UEX458770:UEX458775 UOT458770:UOT458775 UYP458770:UYP458775 VIL458770:VIL458775 VSH458770:VSH458775 WCD458770:WCD458775 WLZ458770:WLZ458775 WVV458770:WVV458775 N524306:N524311 JJ524306:JJ524311 TF524306:TF524311 ADB524306:ADB524311 AMX524306:AMX524311 AWT524306:AWT524311 BGP524306:BGP524311 BQL524306:BQL524311 CAH524306:CAH524311 CKD524306:CKD524311 CTZ524306:CTZ524311 DDV524306:DDV524311 DNR524306:DNR524311 DXN524306:DXN524311 EHJ524306:EHJ524311 ERF524306:ERF524311 FBB524306:FBB524311 FKX524306:FKX524311 FUT524306:FUT524311 GEP524306:GEP524311 GOL524306:GOL524311 GYH524306:GYH524311 HID524306:HID524311 HRZ524306:HRZ524311 IBV524306:IBV524311 ILR524306:ILR524311 IVN524306:IVN524311 JFJ524306:JFJ524311 JPF524306:JPF524311 JZB524306:JZB524311 KIX524306:KIX524311 KST524306:KST524311 LCP524306:LCP524311 LML524306:LML524311 LWH524306:LWH524311 MGD524306:MGD524311 MPZ524306:MPZ524311 MZV524306:MZV524311 NJR524306:NJR524311 NTN524306:NTN524311 ODJ524306:ODJ524311 ONF524306:ONF524311 OXB524306:OXB524311 PGX524306:PGX524311 PQT524306:PQT524311 QAP524306:QAP524311 QKL524306:QKL524311 QUH524306:QUH524311 RED524306:RED524311 RNZ524306:RNZ524311 RXV524306:RXV524311 SHR524306:SHR524311 SRN524306:SRN524311 TBJ524306:TBJ524311 TLF524306:TLF524311 TVB524306:TVB524311 UEX524306:UEX524311 UOT524306:UOT524311 UYP524306:UYP524311 VIL524306:VIL524311 VSH524306:VSH524311 WCD524306:WCD524311 WLZ524306:WLZ524311 WVV524306:WVV524311 N589842:N589847 JJ589842:JJ589847 TF589842:TF589847 ADB589842:ADB589847 AMX589842:AMX589847 AWT589842:AWT589847 BGP589842:BGP589847 BQL589842:BQL589847 CAH589842:CAH589847 CKD589842:CKD589847 CTZ589842:CTZ589847 DDV589842:DDV589847 DNR589842:DNR589847 DXN589842:DXN589847 EHJ589842:EHJ589847 ERF589842:ERF589847 FBB589842:FBB589847 FKX589842:FKX589847 FUT589842:FUT589847 GEP589842:GEP589847 GOL589842:GOL589847 GYH589842:GYH589847 HID589842:HID589847 HRZ589842:HRZ589847 IBV589842:IBV589847 ILR589842:ILR589847 IVN589842:IVN589847 JFJ589842:JFJ589847 JPF589842:JPF589847 JZB589842:JZB589847 KIX589842:KIX589847 KST589842:KST589847 LCP589842:LCP589847 LML589842:LML589847 LWH589842:LWH589847 MGD589842:MGD589847 MPZ589842:MPZ589847 MZV589842:MZV589847 NJR589842:NJR589847 NTN589842:NTN589847 ODJ589842:ODJ589847 ONF589842:ONF589847 OXB589842:OXB589847 PGX589842:PGX589847 PQT589842:PQT589847 QAP589842:QAP589847 QKL589842:QKL589847 QUH589842:QUH589847 RED589842:RED589847 RNZ589842:RNZ589847 RXV589842:RXV589847 SHR589842:SHR589847 SRN589842:SRN589847 TBJ589842:TBJ589847 TLF589842:TLF589847 TVB589842:TVB589847 UEX589842:UEX589847 UOT589842:UOT589847 UYP589842:UYP589847 VIL589842:VIL589847 VSH589842:VSH589847 WCD589842:WCD589847 WLZ589842:WLZ589847 WVV589842:WVV589847 N655378:N655383 JJ655378:JJ655383 TF655378:TF655383 ADB655378:ADB655383 AMX655378:AMX655383 AWT655378:AWT655383 BGP655378:BGP655383 BQL655378:BQL655383 CAH655378:CAH655383 CKD655378:CKD655383 CTZ655378:CTZ655383 DDV655378:DDV655383 DNR655378:DNR655383 DXN655378:DXN655383 EHJ655378:EHJ655383 ERF655378:ERF655383 FBB655378:FBB655383 FKX655378:FKX655383 FUT655378:FUT655383 GEP655378:GEP655383 GOL655378:GOL655383 GYH655378:GYH655383 HID655378:HID655383 HRZ655378:HRZ655383 IBV655378:IBV655383 ILR655378:ILR655383 IVN655378:IVN655383 JFJ655378:JFJ655383 JPF655378:JPF655383 JZB655378:JZB655383 KIX655378:KIX655383 KST655378:KST655383 LCP655378:LCP655383 LML655378:LML655383 LWH655378:LWH655383 MGD655378:MGD655383 MPZ655378:MPZ655383 MZV655378:MZV655383 NJR655378:NJR655383 NTN655378:NTN655383 ODJ655378:ODJ655383 ONF655378:ONF655383 OXB655378:OXB655383 PGX655378:PGX655383 PQT655378:PQT655383 QAP655378:QAP655383 QKL655378:QKL655383 QUH655378:QUH655383 RED655378:RED655383 RNZ655378:RNZ655383 RXV655378:RXV655383 SHR655378:SHR655383 SRN655378:SRN655383 TBJ655378:TBJ655383 TLF655378:TLF655383 TVB655378:TVB655383 UEX655378:UEX655383 UOT655378:UOT655383 UYP655378:UYP655383 VIL655378:VIL655383 VSH655378:VSH655383 WCD655378:WCD655383 WLZ655378:WLZ655383 WVV655378:WVV655383 N720914:N720919 JJ720914:JJ720919 TF720914:TF720919 ADB720914:ADB720919 AMX720914:AMX720919 AWT720914:AWT720919 BGP720914:BGP720919 BQL720914:BQL720919 CAH720914:CAH720919 CKD720914:CKD720919 CTZ720914:CTZ720919 DDV720914:DDV720919 DNR720914:DNR720919 DXN720914:DXN720919 EHJ720914:EHJ720919 ERF720914:ERF720919 FBB720914:FBB720919 FKX720914:FKX720919 FUT720914:FUT720919 GEP720914:GEP720919 GOL720914:GOL720919 GYH720914:GYH720919 HID720914:HID720919 HRZ720914:HRZ720919 IBV720914:IBV720919 ILR720914:ILR720919 IVN720914:IVN720919 JFJ720914:JFJ720919 JPF720914:JPF720919 JZB720914:JZB720919 KIX720914:KIX720919 KST720914:KST720919 LCP720914:LCP720919 LML720914:LML720919 LWH720914:LWH720919 MGD720914:MGD720919 MPZ720914:MPZ720919 MZV720914:MZV720919 NJR720914:NJR720919 NTN720914:NTN720919 ODJ720914:ODJ720919 ONF720914:ONF720919 OXB720914:OXB720919 PGX720914:PGX720919 PQT720914:PQT720919 QAP720914:QAP720919 QKL720914:QKL720919 QUH720914:QUH720919 RED720914:RED720919 RNZ720914:RNZ720919 RXV720914:RXV720919 SHR720914:SHR720919 SRN720914:SRN720919 TBJ720914:TBJ720919 TLF720914:TLF720919 TVB720914:TVB720919 UEX720914:UEX720919 UOT720914:UOT720919 UYP720914:UYP720919 VIL720914:VIL720919 VSH720914:VSH720919 WCD720914:WCD720919 WLZ720914:WLZ720919 WVV720914:WVV720919 N786450:N786455 JJ786450:JJ786455 TF786450:TF786455 ADB786450:ADB786455 AMX786450:AMX786455 AWT786450:AWT786455 BGP786450:BGP786455 BQL786450:BQL786455 CAH786450:CAH786455 CKD786450:CKD786455 CTZ786450:CTZ786455 DDV786450:DDV786455 DNR786450:DNR786455 DXN786450:DXN786455 EHJ786450:EHJ786455 ERF786450:ERF786455 FBB786450:FBB786455 FKX786450:FKX786455 FUT786450:FUT786455 GEP786450:GEP786455 GOL786450:GOL786455 GYH786450:GYH786455 HID786450:HID786455 HRZ786450:HRZ786455 IBV786450:IBV786455 ILR786450:ILR786455 IVN786450:IVN786455 JFJ786450:JFJ786455 JPF786450:JPF786455 JZB786450:JZB786455 KIX786450:KIX786455 KST786450:KST786455 LCP786450:LCP786455 LML786450:LML786455 LWH786450:LWH786455 MGD786450:MGD786455 MPZ786450:MPZ786455 MZV786450:MZV786455 NJR786450:NJR786455 NTN786450:NTN786455 ODJ786450:ODJ786455 ONF786450:ONF786455 OXB786450:OXB786455 PGX786450:PGX786455 PQT786450:PQT786455 QAP786450:QAP786455 QKL786450:QKL786455 QUH786450:QUH786455 RED786450:RED786455 RNZ786450:RNZ786455 RXV786450:RXV786455 SHR786450:SHR786455 SRN786450:SRN786455 TBJ786450:TBJ786455 TLF786450:TLF786455 TVB786450:TVB786455 UEX786450:UEX786455 UOT786450:UOT786455 UYP786450:UYP786455 VIL786450:VIL786455 VSH786450:VSH786455 WCD786450:WCD786455 WLZ786450:WLZ786455 WVV786450:WVV786455 N851986:N851991 JJ851986:JJ851991 TF851986:TF851991 ADB851986:ADB851991 AMX851986:AMX851991 AWT851986:AWT851991 BGP851986:BGP851991 BQL851986:BQL851991 CAH851986:CAH851991 CKD851986:CKD851991 CTZ851986:CTZ851991 DDV851986:DDV851991 DNR851986:DNR851991 DXN851986:DXN851991 EHJ851986:EHJ851991 ERF851986:ERF851991 FBB851986:FBB851991 FKX851986:FKX851991 FUT851986:FUT851991 GEP851986:GEP851991 GOL851986:GOL851991 GYH851986:GYH851991 HID851986:HID851991 HRZ851986:HRZ851991 IBV851986:IBV851991 ILR851986:ILR851991 IVN851986:IVN851991 JFJ851986:JFJ851991 JPF851986:JPF851991 JZB851986:JZB851991 KIX851986:KIX851991 KST851986:KST851991 LCP851986:LCP851991 LML851986:LML851991 LWH851986:LWH851991 MGD851986:MGD851991 MPZ851986:MPZ851991 MZV851986:MZV851991 NJR851986:NJR851991 NTN851986:NTN851991 ODJ851986:ODJ851991 ONF851986:ONF851991 OXB851986:OXB851991 PGX851986:PGX851991 PQT851986:PQT851991 QAP851986:QAP851991 QKL851986:QKL851991 QUH851986:QUH851991 RED851986:RED851991 RNZ851986:RNZ851991 RXV851986:RXV851991 SHR851986:SHR851991 SRN851986:SRN851991 TBJ851986:TBJ851991 TLF851986:TLF851991 TVB851986:TVB851991 UEX851986:UEX851991 UOT851986:UOT851991 UYP851986:UYP851991 VIL851986:VIL851991 VSH851986:VSH851991 WCD851986:WCD851991 WLZ851986:WLZ851991 WVV851986:WVV851991 N917522:N917527 JJ917522:JJ917527 TF917522:TF917527 ADB917522:ADB917527 AMX917522:AMX917527 AWT917522:AWT917527 BGP917522:BGP917527 BQL917522:BQL917527 CAH917522:CAH917527 CKD917522:CKD917527 CTZ917522:CTZ917527 DDV917522:DDV917527 DNR917522:DNR917527 DXN917522:DXN917527 EHJ917522:EHJ917527 ERF917522:ERF917527 FBB917522:FBB917527 FKX917522:FKX917527 FUT917522:FUT917527 GEP917522:GEP917527 GOL917522:GOL917527 GYH917522:GYH917527 HID917522:HID917527 HRZ917522:HRZ917527 IBV917522:IBV917527 ILR917522:ILR917527 IVN917522:IVN917527 JFJ917522:JFJ917527 JPF917522:JPF917527 JZB917522:JZB917527 KIX917522:KIX917527 KST917522:KST917527 LCP917522:LCP917527 LML917522:LML917527 LWH917522:LWH917527 MGD917522:MGD917527 MPZ917522:MPZ917527 MZV917522:MZV917527 NJR917522:NJR917527 NTN917522:NTN917527 ODJ917522:ODJ917527 ONF917522:ONF917527 OXB917522:OXB917527 PGX917522:PGX917527 PQT917522:PQT917527 QAP917522:QAP917527 QKL917522:QKL917527 QUH917522:QUH917527 RED917522:RED917527 RNZ917522:RNZ917527 RXV917522:RXV917527 SHR917522:SHR917527 SRN917522:SRN917527 TBJ917522:TBJ917527 TLF917522:TLF917527 TVB917522:TVB917527 UEX917522:UEX917527 UOT917522:UOT917527 UYP917522:UYP917527 VIL917522:VIL917527 VSH917522:VSH917527 WCD917522:WCD917527 WLZ917522:WLZ917527 WVV917522:WVV917527 N983058:N983063 JJ983058:JJ983063 TF983058:TF983063 ADB983058:ADB983063 AMX983058:AMX983063 AWT983058:AWT983063 BGP983058:BGP983063 BQL983058:BQL983063 CAH983058:CAH983063 CKD983058:CKD983063 CTZ983058:CTZ983063 DDV983058:DDV983063 DNR983058:DNR983063 DXN983058:DXN983063 EHJ983058:EHJ983063 ERF983058:ERF983063 FBB983058:FBB983063 FKX983058:FKX983063 FUT983058:FUT983063 GEP983058:GEP983063 GOL983058:GOL983063 GYH983058:GYH983063 HID983058:HID983063 HRZ983058:HRZ983063 IBV983058:IBV983063 ILR983058:ILR983063 IVN983058:IVN983063 JFJ983058:JFJ983063 JPF983058:JPF983063 JZB983058:JZB983063 KIX983058:KIX983063 KST983058:KST983063 LCP983058:LCP983063 LML983058:LML983063 LWH983058:LWH983063 MGD983058:MGD983063 MPZ983058:MPZ983063 MZV983058:MZV983063 NJR983058:NJR983063 NTN983058:NTN983063 ODJ983058:ODJ983063 ONF983058:ONF983063 OXB983058:OXB983063 PGX983058:PGX983063 PQT983058:PQT983063 QAP983058:QAP983063 QKL983058:QKL983063 QUH983058:QUH983063 RED983058:RED983063 RNZ983058:RNZ983063 RXV983058:RXV983063 SHR983058:SHR983063 SRN983058:SRN983063 TBJ983058:TBJ983063 TLF983058:TLF983063 TVB983058:TVB983063 UEX983058:UEX983063 UOT983058:UOT983063 UYP983058:UYP983063 VIL983058:VIL983063 VSH983058:VSH983063 WCD983058:WCD983063 WLZ983058:WLZ983063 WVV983058:WVV983063" xr:uid="{00000000-0002-0000-0400-000005000000}">
      <formula1>0</formula1>
      <formula2>1</formula2>
    </dataValidation>
  </dataValidations>
  <pageMargins left="0.511811024" right="0.511811024" top="0.78740157499999996" bottom="0.78740157499999996" header="0.31496062000000002" footer="0.31496062000000002"/>
  <pageSetup paperSize="9" scale="82"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321"/>
  <sheetViews>
    <sheetView view="pageBreakPreview" zoomScale="60" zoomScaleNormal="100" workbookViewId="0">
      <selection activeCell="AF14" sqref="AF14"/>
    </sheetView>
  </sheetViews>
  <sheetFormatPr defaultColWidth="9" defaultRowHeight="14.25" x14ac:dyDescent="0.2"/>
  <cols>
    <col min="1" max="2" width="10" bestFit="1" customWidth="1"/>
    <col min="3" max="3" width="60" bestFit="1" customWidth="1"/>
    <col min="4" max="4" width="11.375" customWidth="1"/>
    <col min="5" max="5" width="7.5" customWidth="1"/>
    <col min="6" max="6" width="13" bestFit="1" customWidth="1"/>
    <col min="7" max="7" width="2.25" customWidth="1"/>
    <col min="8" max="8" width="13" bestFit="1" customWidth="1"/>
    <col min="9" max="9" width="1.75" customWidth="1"/>
    <col min="10" max="10" width="13" customWidth="1"/>
    <col min="11" max="11" width="1.75" customWidth="1"/>
    <col min="12" max="12" width="13" bestFit="1" customWidth="1"/>
    <col min="13" max="13" width="10.5" customWidth="1"/>
    <col min="14" max="14" width="11" customWidth="1"/>
    <col min="15" max="15" width="12.375" customWidth="1"/>
    <col min="16" max="16" width="13" bestFit="1" customWidth="1"/>
    <col min="17" max="17" width="15" bestFit="1" customWidth="1"/>
  </cols>
  <sheetData>
    <row r="1" spans="1:17" ht="15" x14ac:dyDescent="0.2">
      <c r="A1" s="40"/>
      <c r="B1" s="40"/>
      <c r="C1" s="40"/>
      <c r="D1" s="40"/>
      <c r="E1" s="119" t="s">
        <v>698</v>
      </c>
      <c r="F1" s="119"/>
      <c r="G1" s="119"/>
      <c r="H1" s="119" t="s">
        <v>699</v>
      </c>
      <c r="I1" s="119"/>
      <c r="J1" s="119"/>
      <c r="K1" s="119"/>
      <c r="L1" s="118"/>
      <c r="M1" s="118"/>
      <c r="N1" s="118"/>
      <c r="O1" s="118"/>
    </row>
    <row r="2" spans="1:17" ht="80.099999999999994" customHeight="1" x14ac:dyDescent="0.2">
      <c r="A2" s="14"/>
      <c r="B2" s="14"/>
      <c r="C2" s="14" t="str">
        <f>'Orçamento Sintético'!A3</f>
        <v>OBRA: PORTARIA DA UNIVERSIDADE FRANCO MONTORO</v>
      </c>
      <c r="D2" s="14"/>
      <c r="E2" s="121">
        <f>[5]BDI!N27</f>
        <v>0.28820000000000001</v>
      </c>
      <c r="F2" s="120"/>
      <c r="G2" s="120"/>
      <c r="H2" s="120" t="s">
        <v>700</v>
      </c>
      <c r="I2" s="120"/>
      <c r="J2" s="120"/>
      <c r="K2" s="120"/>
      <c r="L2" s="118"/>
      <c r="M2" s="118"/>
      <c r="N2" s="118"/>
      <c r="O2" s="118"/>
    </row>
    <row r="3" spans="1:17" ht="15" x14ac:dyDescent="0.25">
      <c r="A3" s="123" t="s">
        <v>707</v>
      </c>
      <c r="B3" s="118"/>
      <c r="C3" s="118"/>
      <c r="D3" s="118"/>
      <c r="E3" s="118"/>
      <c r="F3" s="118"/>
      <c r="G3" s="118"/>
      <c r="H3" s="118"/>
      <c r="I3" s="118"/>
      <c r="J3" s="118"/>
      <c r="K3" s="118"/>
      <c r="L3" s="118"/>
      <c r="M3" s="118"/>
      <c r="N3" s="118"/>
      <c r="O3" s="118"/>
      <c r="P3" s="118"/>
      <c r="Q3" s="118"/>
    </row>
    <row r="4" spans="1:17" ht="20.100000000000001" customHeight="1" x14ac:dyDescent="0.2">
      <c r="A4" s="174" t="s">
        <v>11</v>
      </c>
      <c r="B4" s="124" t="s">
        <v>12</v>
      </c>
      <c r="C4" s="124" t="s">
        <v>2</v>
      </c>
      <c r="D4" s="175" t="s">
        <v>779</v>
      </c>
      <c r="E4" s="175" t="s">
        <v>3</v>
      </c>
      <c r="F4" s="17" t="s">
        <v>1519</v>
      </c>
      <c r="G4" s="76"/>
      <c r="H4" s="17" t="s">
        <v>1520</v>
      </c>
      <c r="I4" s="76"/>
      <c r="J4" s="17" t="s">
        <v>17</v>
      </c>
      <c r="K4" s="17"/>
      <c r="L4" s="17"/>
      <c r="M4" s="174" t="s">
        <v>1521</v>
      </c>
      <c r="N4" s="174" t="s">
        <v>1522</v>
      </c>
      <c r="O4" s="174" t="s">
        <v>1523</v>
      </c>
      <c r="P4" s="118"/>
      <c r="Q4" s="118"/>
    </row>
    <row r="5" spans="1:17" ht="20.100000000000001" customHeight="1" x14ac:dyDescent="0.2">
      <c r="A5" s="174"/>
      <c r="B5" s="124"/>
      <c r="C5" s="124"/>
      <c r="D5" s="124"/>
      <c r="E5" s="175"/>
      <c r="F5" s="17" t="s">
        <v>1524</v>
      </c>
      <c r="G5" s="17" t="s">
        <v>1525</v>
      </c>
      <c r="H5" s="17" t="s">
        <v>1524</v>
      </c>
      <c r="I5" s="17" t="s">
        <v>1525</v>
      </c>
      <c r="J5" s="17" t="s">
        <v>1524</v>
      </c>
      <c r="K5" s="17" t="s">
        <v>1525</v>
      </c>
      <c r="L5" s="17" t="s">
        <v>1526</v>
      </c>
      <c r="M5" s="174"/>
      <c r="N5" s="174"/>
      <c r="O5" s="174"/>
      <c r="P5" s="174"/>
      <c r="Q5" s="174"/>
    </row>
    <row r="6" spans="1:17" ht="24" customHeight="1" x14ac:dyDescent="0.2">
      <c r="A6" s="97" t="s">
        <v>1344</v>
      </c>
      <c r="B6" s="96" t="s">
        <v>15</v>
      </c>
      <c r="C6" s="96" t="s">
        <v>1345</v>
      </c>
      <c r="D6" s="96" t="s">
        <v>794</v>
      </c>
      <c r="E6" s="98" t="s">
        <v>134</v>
      </c>
      <c r="F6" s="97" t="s">
        <v>1527</v>
      </c>
      <c r="G6" s="97" t="s">
        <v>760</v>
      </c>
      <c r="H6" s="97" t="s">
        <v>1528</v>
      </c>
      <c r="I6" s="97" t="s">
        <v>760</v>
      </c>
      <c r="J6" s="97" t="s">
        <v>1529</v>
      </c>
      <c r="K6" s="97" t="s">
        <v>760</v>
      </c>
      <c r="L6" s="100">
        <v>135832.801951</v>
      </c>
      <c r="M6" s="97" t="s">
        <v>1530</v>
      </c>
      <c r="N6" s="100">
        <v>135832.801951</v>
      </c>
      <c r="O6" s="97" t="s">
        <v>1530</v>
      </c>
    </row>
    <row r="7" spans="1:17" ht="26.1" customHeight="1" x14ac:dyDescent="0.2">
      <c r="A7" s="97" t="s">
        <v>952</v>
      </c>
      <c r="B7" s="96" t="s">
        <v>15</v>
      </c>
      <c r="C7" s="96" t="s">
        <v>953</v>
      </c>
      <c r="D7" s="96" t="s">
        <v>794</v>
      </c>
      <c r="E7" s="98" t="s">
        <v>134</v>
      </c>
      <c r="F7" s="97" t="s">
        <v>1531</v>
      </c>
      <c r="G7" s="97" t="s">
        <v>760</v>
      </c>
      <c r="H7" s="97" t="s">
        <v>1532</v>
      </c>
      <c r="I7" s="97" t="s">
        <v>760</v>
      </c>
      <c r="J7" s="97" t="s">
        <v>1533</v>
      </c>
      <c r="K7" s="97" t="s">
        <v>760</v>
      </c>
      <c r="L7" s="100">
        <v>127356.552</v>
      </c>
      <c r="M7" s="97" t="s">
        <v>1534</v>
      </c>
      <c r="N7" s="100">
        <v>263189.35395100003</v>
      </c>
      <c r="O7" s="97" t="s">
        <v>1535</v>
      </c>
    </row>
    <row r="8" spans="1:17" ht="24" customHeight="1" x14ac:dyDescent="0.2">
      <c r="A8" s="97" t="s">
        <v>816</v>
      </c>
      <c r="B8" s="96" t="s">
        <v>15</v>
      </c>
      <c r="C8" s="96" t="s">
        <v>817</v>
      </c>
      <c r="D8" s="96" t="s">
        <v>784</v>
      </c>
      <c r="E8" s="98" t="s">
        <v>785</v>
      </c>
      <c r="F8" s="97" t="s">
        <v>1536</v>
      </c>
      <c r="G8" s="97" t="s">
        <v>760</v>
      </c>
      <c r="H8" s="97" t="s">
        <v>1537</v>
      </c>
      <c r="I8" s="97" t="s">
        <v>760</v>
      </c>
      <c r="J8" s="97" t="s">
        <v>1538</v>
      </c>
      <c r="K8" s="97" t="s">
        <v>760</v>
      </c>
      <c r="L8" s="100">
        <v>57258.929746720001</v>
      </c>
      <c r="M8" s="97" t="s">
        <v>1539</v>
      </c>
      <c r="N8" s="100">
        <v>320448.28369770001</v>
      </c>
      <c r="O8" s="97" t="s">
        <v>1540</v>
      </c>
    </row>
    <row r="9" spans="1:17" ht="24" customHeight="1" x14ac:dyDescent="0.2">
      <c r="A9" s="97" t="s">
        <v>832</v>
      </c>
      <c r="B9" s="96" t="s">
        <v>15</v>
      </c>
      <c r="C9" s="96" t="s">
        <v>833</v>
      </c>
      <c r="D9" s="96" t="s">
        <v>784</v>
      </c>
      <c r="E9" s="98" t="s">
        <v>785</v>
      </c>
      <c r="F9" s="97" t="s">
        <v>1541</v>
      </c>
      <c r="G9" s="97" t="s">
        <v>760</v>
      </c>
      <c r="H9" s="97" t="s">
        <v>1542</v>
      </c>
      <c r="I9" s="97" t="s">
        <v>760</v>
      </c>
      <c r="J9" s="97" t="s">
        <v>1543</v>
      </c>
      <c r="K9" s="97" t="s">
        <v>760</v>
      </c>
      <c r="L9" s="100">
        <v>23294.3162816</v>
      </c>
      <c r="M9" s="97" t="s">
        <v>1544</v>
      </c>
      <c r="N9" s="100">
        <v>343742.59997929999</v>
      </c>
      <c r="O9" s="97" t="s">
        <v>1545</v>
      </c>
    </row>
    <row r="10" spans="1:17" ht="24" customHeight="1" x14ac:dyDescent="0.2">
      <c r="A10" s="97" t="s">
        <v>913</v>
      </c>
      <c r="B10" s="96" t="s">
        <v>15</v>
      </c>
      <c r="C10" s="96" t="s">
        <v>914</v>
      </c>
      <c r="D10" s="96" t="s">
        <v>794</v>
      </c>
      <c r="E10" s="98" t="s">
        <v>134</v>
      </c>
      <c r="F10" s="97" t="s">
        <v>1546</v>
      </c>
      <c r="G10" s="97" t="s">
        <v>760</v>
      </c>
      <c r="H10" s="97" t="s">
        <v>1547</v>
      </c>
      <c r="I10" s="97" t="s">
        <v>760</v>
      </c>
      <c r="J10" s="97" t="s">
        <v>1548</v>
      </c>
      <c r="K10" s="97" t="s">
        <v>760</v>
      </c>
      <c r="L10" s="100">
        <v>20282.078807760001</v>
      </c>
      <c r="M10" s="97" t="s">
        <v>1549</v>
      </c>
      <c r="N10" s="100">
        <v>364024.67878710001</v>
      </c>
      <c r="O10" s="97" t="s">
        <v>1550</v>
      </c>
    </row>
    <row r="11" spans="1:17" ht="26.1" customHeight="1" x14ac:dyDescent="0.2">
      <c r="A11" s="97" t="s">
        <v>792</v>
      </c>
      <c r="B11" s="96" t="s">
        <v>15</v>
      </c>
      <c r="C11" s="96" t="s">
        <v>793</v>
      </c>
      <c r="D11" s="96" t="s">
        <v>794</v>
      </c>
      <c r="E11" s="98" t="s">
        <v>78</v>
      </c>
      <c r="F11" s="97" t="s">
        <v>1551</v>
      </c>
      <c r="G11" s="97" t="s">
        <v>760</v>
      </c>
      <c r="H11" s="97" t="s">
        <v>1552</v>
      </c>
      <c r="I11" s="97" t="s">
        <v>760</v>
      </c>
      <c r="J11" s="97" t="s">
        <v>1553</v>
      </c>
      <c r="K11" s="97" t="s">
        <v>760</v>
      </c>
      <c r="L11" s="100">
        <v>20112.729054719999</v>
      </c>
      <c r="M11" s="97" t="s">
        <v>1554</v>
      </c>
      <c r="N11" s="100">
        <v>384137.40784180001</v>
      </c>
      <c r="O11" s="97" t="s">
        <v>1555</v>
      </c>
    </row>
    <row r="12" spans="1:17" ht="26.1" customHeight="1" x14ac:dyDescent="0.2">
      <c r="A12" s="97" t="s">
        <v>1318</v>
      </c>
      <c r="B12" s="96" t="s">
        <v>275</v>
      </c>
      <c r="C12" s="96" t="s">
        <v>1319</v>
      </c>
      <c r="D12" s="96" t="s">
        <v>794</v>
      </c>
      <c r="E12" s="98" t="s">
        <v>5</v>
      </c>
      <c r="F12" s="97" t="s">
        <v>1556</v>
      </c>
      <c r="G12" s="97" t="s">
        <v>760</v>
      </c>
      <c r="H12" s="97" t="s">
        <v>1557</v>
      </c>
      <c r="I12" s="97" t="s">
        <v>760</v>
      </c>
      <c r="J12" s="97" t="s">
        <v>1558</v>
      </c>
      <c r="K12" s="97" t="s">
        <v>760</v>
      </c>
      <c r="L12" s="100">
        <v>19322.944200000002</v>
      </c>
      <c r="M12" s="97" t="s">
        <v>1559</v>
      </c>
      <c r="N12" s="100">
        <v>403460.35204179998</v>
      </c>
      <c r="O12" s="97" t="s">
        <v>1560</v>
      </c>
    </row>
    <row r="13" spans="1:17" ht="39" customHeight="1" x14ac:dyDescent="0.2">
      <c r="A13" s="97" t="s">
        <v>846</v>
      </c>
      <c r="B13" s="96" t="s">
        <v>15</v>
      </c>
      <c r="C13" s="96" t="s">
        <v>847</v>
      </c>
      <c r="D13" s="96" t="s">
        <v>794</v>
      </c>
      <c r="E13" s="98" t="s">
        <v>50</v>
      </c>
      <c r="F13" s="97" t="s">
        <v>1561</v>
      </c>
      <c r="G13" s="97" t="s">
        <v>760</v>
      </c>
      <c r="H13" s="97" t="s">
        <v>1562</v>
      </c>
      <c r="I13" s="97" t="s">
        <v>760</v>
      </c>
      <c r="J13" s="97" t="s">
        <v>1563</v>
      </c>
      <c r="K13" s="97" t="s">
        <v>760</v>
      </c>
      <c r="L13" s="100">
        <v>18752.562999999998</v>
      </c>
      <c r="M13" s="97" t="s">
        <v>1564</v>
      </c>
      <c r="N13" s="100">
        <v>422212.91504180001</v>
      </c>
      <c r="O13" s="97" t="s">
        <v>1565</v>
      </c>
    </row>
    <row r="14" spans="1:17" ht="24" customHeight="1" x14ac:dyDescent="0.2">
      <c r="A14" s="97" t="s">
        <v>871</v>
      </c>
      <c r="B14" s="96" t="s">
        <v>15</v>
      </c>
      <c r="C14" s="96" t="s">
        <v>872</v>
      </c>
      <c r="D14" s="96" t="s">
        <v>794</v>
      </c>
      <c r="E14" s="98" t="s">
        <v>134</v>
      </c>
      <c r="F14" s="97" t="s">
        <v>1566</v>
      </c>
      <c r="G14" s="97" t="s">
        <v>760</v>
      </c>
      <c r="H14" s="97" t="s">
        <v>1567</v>
      </c>
      <c r="I14" s="97" t="s">
        <v>760</v>
      </c>
      <c r="J14" s="97" t="s">
        <v>1568</v>
      </c>
      <c r="K14" s="97" t="s">
        <v>760</v>
      </c>
      <c r="L14" s="100">
        <v>16750.137984000001</v>
      </c>
      <c r="M14" s="97" t="s">
        <v>1569</v>
      </c>
      <c r="N14" s="100">
        <v>438963.05302579998</v>
      </c>
      <c r="O14" s="97" t="s">
        <v>1570</v>
      </c>
    </row>
    <row r="15" spans="1:17" ht="26.1" customHeight="1" x14ac:dyDescent="0.2">
      <c r="A15" s="97" t="s">
        <v>899</v>
      </c>
      <c r="B15" s="96" t="s">
        <v>15</v>
      </c>
      <c r="C15" s="96" t="s">
        <v>900</v>
      </c>
      <c r="D15" s="96" t="s">
        <v>794</v>
      </c>
      <c r="E15" s="98" t="s">
        <v>50</v>
      </c>
      <c r="F15" s="97" t="s">
        <v>1571</v>
      </c>
      <c r="G15" s="97" t="s">
        <v>760</v>
      </c>
      <c r="H15" s="97" t="s">
        <v>1572</v>
      </c>
      <c r="I15" s="97" t="s">
        <v>760</v>
      </c>
      <c r="J15" s="97" t="s">
        <v>1573</v>
      </c>
      <c r="K15" s="97" t="s">
        <v>760</v>
      </c>
      <c r="L15" s="100">
        <v>14777.47077</v>
      </c>
      <c r="M15" s="97" t="s">
        <v>1574</v>
      </c>
      <c r="N15" s="100">
        <v>453740.52379579999</v>
      </c>
      <c r="O15" s="97" t="s">
        <v>1575</v>
      </c>
    </row>
    <row r="16" spans="1:17" ht="24" customHeight="1" x14ac:dyDescent="0.2">
      <c r="A16" s="97" t="s">
        <v>790</v>
      </c>
      <c r="B16" s="96" t="s">
        <v>15</v>
      </c>
      <c r="C16" s="96" t="s">
        <v>791</v>
      </c>
      <c r="D16" s="96" t="s">
        <v>784</v>
      </c>
      <c r="E16" s="98" t="s">
        <v>785</v>
      </c>
      <c r="F16" s="97" t="s">
        <v>1576</v>
      </c>
      <c r="G16" s="97" t="s">
        <v>760</v>
      </c>
      <c r="H16" s="97" t="s">
        <v>1542</v>
      </c>
      <c r="I16" s="97" t="s">
        <v>760</v>
      </c>
      <c r="J16" s="97" t="s">
        <v>1577</v>
      </c>
      <c r="K16" s="97" t="s">
        <v>760</v>
      </c>
      <c r="L16" s="100">
        <v>14089.724230399999</v>
      </c>
      <c r="M16" s="97" t="s">
        <v>1578</v>
      </c>
      <c r="N16" s="100">
        <v>467830.24802619999</v>
      </c>
      <c r="O16" s="97" t="s">
        <v>1579</v>
      </c>
    </row>
    <row r="17" spans="1:15" ht="24" customHeight="1" x14ac:dyDescent="0.2">
      <c r="A17" s="97" t="s">
        <v>911</v>
      </c>
      <c r="B17" s="96" t="s">
        <v>15</v>
      </c>
      <c r="C17" s="96" t="s">
        <v>912</v>
      </c>
      <c r="D17" s="96" t="s">
        <v>794</v>
      </c>
      <c r="E17" s="98" t="s">
        <v>50</v>
      </c>
      <c r="F17" s="97" t="s">
        <v>1580</v>
      </c>
      <c r="G17" s="97" t="s">
        <v>760</v>
      </c>
      <c r="H17" s="97" t="s">
        <v>1581</v>
      </c>
      <c r="I17" s="97" t="s">
        <v>760</v>
      </c>
      <c r="J17" s="97" t="s">
        <v>1582</v>
      </c>
      <c r="K17" s="97" t="s">
        <v>760</v>
      </c>
      <c r="L17" s="100">
        <v>13995.6137253</v>
      </c>
      <c r="M17" s="97" t="s">
        <v>1583</v>
      </c>
      <c r="N17" s="100">
        <v>481825.86175149999</v>
      </c>
      <c r="O17" s="97" t="s">
        <v>1584</v>
      </c>
    </row>
    <row r="18" spans="1:15" ht="24" customHeight="1" x14ac:dyDescent="0.2">
      <c r="A18" s="97" t="s">
        <v>818</v>
      </c>
      <c r="B18" s="96" t="s">
        <v>15</v>
      </c>
      <c r="C18" s="96" t="s">
        <v>819</v>
      </c>
      <c r="D18" s="96" t="s">
        <v>794</v>
      </c>
      <c r="E18" s="98" t="s">
        <v>5</v>
      </c>
      <c r="F18" s="97" t="s">
        <v>1585</v>
      </c>
      <c r="G18" s="97" t="s">
        <v>760</v>
      </c>
      <c r="H18" s="97" t="s">
        <v>1586</v>
      </c>
      <c r="I18" s="97" t="s">
        <v>760</v>
      </c>
      <c r="J18" s="97" t="s">
        <v>1587</v>
      </c>
      <c r="K18" s="97" t="s">
        <v>760</v>
      </c>
      <c r="L18" s="100">
        <v>13774.2466816</v>
      </c>
      <c r="M18" s="97" t="s">
        <v>1588</v>
      </c>
      <c r="N18" s="100">
        <v>495600.10843309999</v>
      </c>
      <c r="O18" s="97" t="s">
        <v>1589</v>
      </c>
    </row>
    <row r="19" spans="1:15" ht="26.1" customHeight="1" x14ac:dyDescent="0.2">
      <c r="A19" s="97" t="s">
        <v>848</v>
      </c>
      <c r="B19" s="96" t="s">
        <v>15</v>
      </c>
      <c r="C19" s="96" t="s">
        <v>849</v>
      </c>
      <c r="D19" s="96" t="s">
        <v>794</v>
      </c>
      <c r="E19" s="98" t="s">
        <v>785</v>
      </c>
      <c r="F19" s="97" t="s">
        <v>1590</v>
      </c>
      <c r="G19" s="97" t="s">
        <v>760</v>
      </c>
      <c r="H19" s="97" t="s">
        <v>1591</v>
      </c>
      <c r="I19" s="97" t="s">
        <v>760</v>
      </c>
      <c r="J19" s="97" t="s">
        <v>1592</v>
      </c>
      <c r="K19" s="97" t="s">
        <v>760</v>
      </c>
      <c r="L19" s="100">
        <v>12385.21595688</v>
      </c>
      <c r="M19" s="97" t="s">
        <v>1593</v>
      </c>
      <c r="N19" s="100">
        <v>507985.32439000002</v>
      </c>
      <c r="O19" s="97" t="s">
        <v>1594</v>
      </c>
    </row>
    <row r="20" spans="1:15" ht="26.1" customHeight="1" x14ac:dyDescent="0.2">
      <c r="A20" s="97" t="s">
        <v>978</v>
      </c>
      <c r="B20" s="96" t="s">
        <v>15</v>
      </c>
      <c r="C20" s="96" t="s">
        <v>979</v>
      </c>
      <c r="D20" s="96" t="s">
        <v>794</v>
      </c>
      <c r="E20" s="98" t="s">
        <v>5</v>
      </c>
      <c r="F20" s="97" t="s">
        <v>1595</v>
      </c>
      <c r="G20" s="97" t="s">
        <v>760</v>
      </c>
      <c r="H20" s="97" t="s">
        <v>1596</v>
      </c>
      <c r="I20" s="97" t="s">
        <v>760</v>
      </c>
      <c r="J20" s="97" t="s">
        <v>1597</v>
      </c>
      <c r="K20" s="97" t="s">
        <v>760</v>
      </c>
      <c r="L20" s="100">
        <v>12016.3225</v>
      </c>
      <c r="M20" s="97" t="s">
        <v>1598</v>
      </c>
      <c r="N20" s="100">
        <v>520001.64688999997</v>
      </c>
      <c r="O20" s="97" t="s">
        <v>1599</v>
      </c>
    </row>
    <row r="21" spans="1:15" ht="51.95" customHeight="1" x14ac:dyDescent="0.2">
      <c r="A21" s="97" t="s">
        <v>987</v>
      </c>
      <c r="B21" s="96" t="s">
        <v>15</v>
      </c>
      <c r="C21" s="96" t="s">
        <v>988</v>
      </c>
      <c r="D21" s="96" t="s">
        <v>794</v>
      </c>
      <c r="E21" s="98" t="s">
        <v>5</v>
      </c>
      <c r="F21" s="97" t="s">
        <v>1600</v>
      </c>
      <c r="G21" s="97" t="s">
        <v>760</v>
      </c>
      <c r="H21" s="97" t="s">
        <v>1601</v>
      </c>
      <c r="I21" s="97" t="s">
        <v>760</v>
      </c>
      <c r="J21" s="97" t="s">
        <v>1602</v>
      </c>
      <c r="K21" s="97" t="s">
        <v>760</v>
      </c>
      <c r="L21" s="100">
        <v>11136.57</v>
      </c>
      <c r="M21" s="97" t="s">
        <v>1603</v>
      </c>
      <c r="N21" s="100">
        <v>531138.21689000004</v>
      </c>
      <c r="O21" s="97" t="s">
        <v>1604</v>
      </c>
    </row>
    <row r="22" spans="1:15" ht="24" customHeight="1" x14ac:dyDescent="0.2">
      <c r="A22" s="97" t="s">
        <v>972</v>
      </c>
      <c r="B22" s="96" t="s">
        <v>15</v>
      </c>
      <c r="C22" s="96" t="s">
        <v>973</v>
      </c>
      <c r="D22" s="96" t="s">
        <v>784</v>
      </c>
      <c r="E22" s="98" t="s">
        <v>785</v>
      </c>
      <c r="F22" s="97" t="s">
        <v>1605</v>
      </c>
      <c r="G22" s="97" t="s">
        <v>760</v>
      </c>
      <c r="H22" s="97" t="s">
        <v>1606</v>
      </c>
      <c r="I22" s="97" t="s">
        <v>760</v>
      </c>
      <c r="J22" s="97" t="s">
        <v>1607</v>
      </c>
      <c r="K22" s="97" t="s">
        <v>760</v>
      </c>
      <c r="L22" s="100">
        <v>10048.012537500001</v>
      </c>
      <c r="M22" s="97" t="s">
        <v>1608</v>
      </c>
      <c r="N22" s="100">
        <v>541186.22942750005</v>
      </c>
      <c r="O22" s="97" t="s">
        <v>1609</v>
      </c>
    </row>
    <row r="23" spans="1:15" ht="26.1" customHeight="1" x14ac:dyDescent="0.2">
      <c r="A23" s="97" t="s">
        <v>1338</v>
      </c>
      <c r="B23" s="96" t="s">
        <v>15</v>
      </c>
      <c r="C23" s="96" t="s">
        <v>1339</v>
      </c>
      <c r="D23" s="96" t="s">
        <v>794</v>
      </c>
      <c r="E23" s="98" t="s">
        <v>134</v>
      </c>
      <c r="F23" s="97" t="s">
        <v>1610</v>
      </c>
      <c r="G23" s="97" t="s">
        <v>760</v>
      </c>
      <c r="H23" s="97" t="s">
        <v>1611</v>
      </c>
      <c r="I23" s="97" t="s">
        <v>760</v>
      </c>
      <c r="J23" s="97" t="s">
        <v>1612</v>
      </c>
      <c r="K23" s="97" t="s">
        <v>760</v>
      </c>
      <c r="L23" s="100">
        <v>9903.5640000000003</v>
      </c>
      <c r="M23" s="97" t="s">
        <v>1613</v>
      </c>
      <c r="N23" s="100">
        <v>551089.79342749994</v>
      </c>
      <c r="O23" s="97" t="s">
        <v>1614</v>
      </c>
    </row>
    <row r="24" spans="1:15" ht="26.1" customHeight="1" x14ac:dyDescent="0.2">
      <c r="A24" s="97" t="s">
        <v>1185</v>
      </c>
      <c r="B24" s="96" t="s">
        <v>327</v>
      </c>
      <c r="C24" s="96" t="s">
        <v>1186</v>
      </c>
      <c r="D24" s="96" t="s">
        <v>794</v>
      </c>
      <c r="E24" s="98" t="s">
        <v>32</v>
      </c>
      <c r="F24" s="97" t="s">
        <v>1615</v>
      </c>
      <c r="G24" s="97" t="s">
        <v>760</v>
      </c>
      <c r="H24" s="97" t="s">
        <v>1616</v>
      </c>
      <c r="I24" s="97" t="s">
        <v>760</v>
      </c>
      <c r="J24" s="97" t="s">
        <v>1616</v>
      </c>
      <c r="K24" s="97" t="s">
        <v>760</v>
      </c>
      <c r="L24" s="100">
        <v>9843.9699999999993</v>
      </c>
      <c r="M24" s="97" t="s">
        <v>1613</v>
      </c>
      <c r="N24" s="100">
        <v>560933.76342750003</v>
      </c>
      <c r="O24" s="97" t="s">
        <v>1617</v>
      </c>
    </row>
    <row r="25" spans="1:15" ht="26.1" customHeight="1" x14ac:dyDescent="0.2">
      <c r="A25" s="97" t="s">
        <v>1397</v>
      </c>
      <c r="B25" s="96" t="s">
        <v>31</v>
      </c>
      <c r="C25" s="96" t="s">
        <v>1398</v>
      </c>
      <c r="D25" s="96" t="s">
        <v>794</v>
      </c>
      <c r="E25" s="98" t="s">
        <v>78</v>
      </c>
      <c r="F25" s="97" t="s">
        <v>1618</v>
      </c>
      <c r="G25" s="97" t="s">
        <v>760</v>
      </c>
      <c r="H25" s="97" t="s">
        <v>1619</v>
      </c>
      <c r="I25" s="97" t="s">
        <v>760</v>
      </c>
      <c r="J25" s="97" t="s">
        <v>1620</v>
      </c>
      <c r="K25" s="97" t="s">
        <v>760</v>
      </c>
      <c r="L25" s="100">
        <v>9780.5220000000008</v>
      </c>
      <c r="M25" s="97" t="s">
        <v>1621</v>
      </c>
      <c r="N25" s="100">
        <v>570714.28542750003</v>
      </c>
      <c r="O25" s="97" t="s">
        <v>1622</v>
      </c>
    </row>
    <row r="26" spans="1:15" ht="24" customHeight="1" x14ac:dyDescent="0.2">
      <c r="A26" s="97" t="s">
        <v>974</v>
      </c>
      <c r="B26" s="96" t="s">
        <v>15</v>
      </c>
      <c r="C26" s="96" t="s">
        <v>975</v>
      </c>
      <c r="D26" s="96" t="s">
        <v>784</v>
      </c>
      <c r="E26" s="98" t="s">
        <v>785</v>
      </c>
      <c r="F26" s="97" t="s">
        <v>1623</v>
      </c>
      <c r="G26" s="97" t="s">
        <v>760</v>
      </c>
      <c r="H26" s="97" t="s">
        <v>1537</v>
      </c>
      <c r="I26" s="97" t="s">
        <v>760</v>
      </c>
      <c r="J26" s="97" t="s">
        <v>1624</v>
      </c>
      <c r="K26" s="97" t="s">
        <v>760</v>
      </c>
      <c r="L26" s="100">
        <v>9679.0970379999999</v>
      </c>
      <c r="M26" s="97" t="s">
        <v>1625</v>
      </c>
      <c r="N26" s="100">
        <v>580393.38246550004</v>
      </c>
      <c r="O26" s="97" t="s">
        <v>1626</v>
      </c>
    </row>
    <row r="27" spans="1:15" ht="24" customHeight="1" x14ac:dyDescent="0.2">
      <c r="A27" s="97" t="s">
        <v>836</v>
      </c>
      <c r="B27" s="96" t="s">
        <v>15</v>
      </c>
      <c r="C27" s="96" t="s">
        <v>837</v>
      </c>
      <c r="D27" s="96" t="s">
        <v>794</v>
      </c>
      <c r="E27" s="98" t="s">
        <v>785</v>
      </c>
      <c r="F27" s="97" t="s">
        <v>1627</v>
      </c>
      <c r="G27" s="97" t="s">
        <v>760</v>
      </c>
      <c r="H27" s="97" t="s">
        <v>1628</v>
      </c>
      <c r="I27" s="97" t="s">
        <v>760</v>
      </c>
      <c r="J27" s="97" t="s">
        <v>1629</v>
      </c>
      <c r="K27" s="97" t="s">
        <v>760</v>
      </c>
      <c r="L27" s="100">
        <v>9515.4135999999999</v>
      </c>
      <c r="M27" s="97" t="s">
        <v>1630</v>
      </c>
      <c r="N27" s="100">
        <v>589908.79606550001</v>
      </c>
      <c r="O27" s="97" t="s">
        <v>1631</v>
      </c>
    </row>
    <row r="28" spans="1:15" ht="51.95" customHeight="1" x14ac:dyDescent="0.2">
      <c r="A28" s="97" t="s">
        <v>958</v>
      </c>
      <c r="B28" s="96" t="s">
        <v>15</v>
      </c>
      <c r="C28" s="96" t="s">
        <v>959</v>
      </c>
      <c r="D28" s="96" t="s">
        <v>794</v>
      </c>
      <c r="E28" s="98" t="s">
        <v>5</v>
      </c>
      <c r="F28" s="97" t="s">
        <v>1632</v>
      </c>
      <c r="G28" s="97" t="s">
        <v>760</v>
      </c>
      <c r="H28" s="97" t="s">
        <v>1633</v>
      </c>
      <c r="I28" s="97" t="s">
        <v>760</v>
      </c>
      <c r="J28" s="97" t="s">
        <v>1634</v>
      </c>
      <c r="K28" s="97" t="s">
        <v>760</v>
      </c>
      <c r="L28" s="100">
        <v>9446.6968500000003</v>
      </c>
      <c r="M28" s="97" t="s">
        <v>1635</v>
      </c>
      <c r="N28" s="100">
        <v>599355.49291549996</v>
      </c>
      <c r="O28" s="97" t="s">
        <v>1636</v>
      </c>
    </row>
    <row r="29" spans="1:15" ht="24" customHeight="1" x14ac:dyDescent="0.2">
      <c r="A29" s="97" t="s">
        <v>1350</v>
      </c>
      <c r="B29" s="96" t="s">
        <v>15</v>
      </c>
      <c r="C29" s="96" t="s">
        <v>568</v>
      </c>
      <c r="D29" s="96" t="s">
        <v>794</v>
      </c>
      <c r="E29" s="98" t="s">
        <v>50</v>
      </c>
      <c r="F29" s="97" t="s">
        <v>1637</v>
      </c>
      <c r="G29" s="97" t="s">
        <v>760</v>
      </c>
      <c r="H29" s="97" t="s">
        <v>1638</v>
      </c>
      <c r="I29" s="97" t="s">
        <v>760</v>
      </c>
      <c r="J29" s="97" t="s">
        <v>1639</v>
      </c>
      <c r="K29" s="97" t="s">
        <v>760</v>
      </c>
      <c r="L29" s="100">
        <v>9085.44</v>
      </c>
      <c r="M29" s="97" t="s">
        <v>1640</v>
      </c>
      <c r="N29" s="100">
        <v>608440.93291550002</v>
      </c>
      <c r="O29" s="97" t="s">
        <v>1641</v>
      </c>
    </row>
    <row r="30" spans="1:15" ht="39" customHeight="1" x14ac:dyDescent="0.2">
      <c r="A30" s="97" t="s">
        <v>1307</v>
      </c>
      <c r="B30" s="96" t="s">
        <v>31</v>
      </c>
      <c r="C30" s="96" t="s">
        <v>1308</v>
      </c>
      <c r="D30" s="96" t="s">
        <v>794</v>
      </c>
      <c r="E30" s="98" t="s">
        <v>50</v>
      </c>
      <c r="F30" s="97" t="s">
        <v>1642</v>
      </c>
      <c r="G30" s="97" t="s">
        <v>760</v>
      </c>
      <c r="H30" s="97" t="s">
        <v>1643</v>
      </c>
      <c r="I30" s="97" t="s">
        <v>760</v>
      </c>
      <c r="J30" s="97" t="s">
        <v>1644</v>
      </c>
      <c r="K30" s="97" t="s">
        <v>760</v>
      </c>
      <c r="L30" s="100">
        <v>8050.8916159999999</v>
      </c>
      <c r="M30" s="97" t="s">
        <v>1645</v>
      </c>
      <c r="N30" s="100">
        <v>616491.82453149999</v>
      </c>
      <c r="O30" s="97" t="s">
        <v>1646</v>
      </c>
    </row>
    <row r="31" spans="1:15" ht="24" customHeight="1" x14ac:dyDescent="0.2">
      <c r="A31" s="97" t="s">
        <v>808</v>
      </c>
      <c r="B31" s="96" t="s">
        <v>15</v>
      </c>
      <c r="C31" s="96" t="s">
        <v>809</v>
      </c>
      <c r="D31" s="96" t="s">
        <v>784</v>
      </c>
      <c r="E31" s="98" t="s">
        <v>785</v>
      </c>
      <c r="F31" s="97" t="s">
        <v>1647</v>
      </c>
      <c r="G31" s="97" t="s">
        <v>760</v>
      </c>
      <c r="H31" s="97" t="s">
        <v>1537</v>
      </c>
      <c r="I31" s="97" t="s">
        <v>760</v>
      </c>
      <c r="J31" s="97" t="s">
        <v>1648</v>
      </c>
      <c r="K31" s="97" t="s">
        <v>760</v>
      </c>
      <c r="L31" s="100">
        <v>8040.9062967999998</v>
      </c>
      <c r="M31" s="97" t="s">
        <v>1645</v>
      </c>
      <c r="N31" s="100">
        <v>624532.7308283</v>
      </c>
      <c r="O31" s="97" t="s">
        <v>1649</v>
      </c>
    </row>
    <row r="32" spans="1:15" ht="26.1" customHeight="1" x14ac:dyDescent="0.2">
      <c r="A32" s="97" t="s">
        <v>1340</v>
      </c>
      <c r="B32" s="96" t="s">
        <v>15</v>
      </c>
      <c r="C32" s="96" t="s">
        <v>1341</v>
      </c>
      <c r="D32" s="96" t="s">
        <v>794</v>
      </c>
      <c r="E32" s="98" t="s">
        <v>134</v>
      </c>
      <c r="F32" s="97" t="s">
        <v>1650</v>
      </c>
      <c r="G32" s="97" t="s">
        <v>760</v>
      </c>
      <c r="H32" s="97" t="s">
        <v>1651</v>
      </c>
      <c r="I32" s="97" t="s">
        <v>760</v>
      </c>
      <c r="J32" s="97" t="s">
        <v>1652</v>
      </c>
      <c r="K32" s="97" t="s">
        <v>760</v>
      </c>
      <c r="L32" s="100">
        <v>6926.2830000000004</v>
      </c>
      <c r="M32" s="97" t="s">
        <v>1653</v>
      </c>
      <c r="N32" s="100">
        <v>631459.01382830006</v>
      </c>
      <c r="O32" s="97" t="s">
        <v>1654</v>
      </c>
    </row>
    <row r="33" spans="1:15" ht="26.1" customHeight="1" x14ac:dyDescent="0.2">
      <c r="A33" s="97" t="s">
        <v>869</v>
      </c>
      <c r="B33" s="96" t="s">
        <v>15</v>
      </c>
      <c r="C33" s="96" t="s">
        <v>870</v>
      </c>
      <c r="D33" s="96" t="s">
        <v>794</v>
      </c>
      <c r="E33" s="98" t="s">
        <v>50</v>
      </c>
      <c r="F33" s="97" t="s">
        <v>1655</v>
      </c>
      <c r="G33" s="97" t="s">
        <v>760</v>
      </c>
      <c r="H33" s="97" t="s">
        <v>1656</v>
      </c>
      <c r="I33" s="97" t="s">
        <v>760</v>
      </c>
      <c r="J33" s="97" t="s">
        <v>1657</v>
      </c>
      <c r="K33" s="97" t="s">
        <v>760</v>
      </c>
      <c r="L33" s="100">
        <v>6729.5817864000001</v>
      </c>
      <c r="M33" s="97" t="s">
        <v>1658</v>
      </c>
      <c r="N33" s="100">
        <v>638188.5956147</v>
      </c>
      <c r="O33" s="97" t="s">
        <v>1659</v>
      </c>
    </row>
    <row r="34" spans="1:15" ht="24" customHeight="1" x14ac:dyDescent="0.2">
      <c r="A34" s="97" t="s">
        <v>782</v>
      </c>
      <c r="B34" s="96" t="s">
        <v>15</v>
      </c>
      <c r="C34" s="96" t="s">
        <v>783</v>
      </c>
      <c r="D34" s="96" t="s">
        <v>784</v>
      </c>
      <c r="E34" s="98" t="s">
        <v>785</v>
      </c>
      <c r="F34" s="97" t="s">
        <v>1660</v>
      </c>
      <c r="G34" s="97" t="s">
        <v>760</v>
      </c>
      <c r="H34" s="97" t="s">
        <v>1537</v>
      </c>
      <c r="I34" s="97" t="s">
        <v>760</v>
      </c>
      <c r="J34" s="97" t="s">
        <v>1661</v>
      </c>
      <c r="K34" s="97" t="s">
        <v>760</v>
      </c>
      <c r="L34" s="100">
        <v>6289.6759744000001</v>
      </c>
      <c r="M34" s="97" t="s">
        <v>1662</v>
      </c>
      <c r="N34" s="100">
        <v>644478.27158910001</v>
      </c>
      <c r="O34" s="97" t="s">
        <v>1663</v>
      </c>
    </row>
    <row r="35" spans="1:15" ht="24" customHeight="1" x14ac:dyDescent="0.2">
      <c r="A35" s="97" t="s">
        <v>814</v>
      </c>
      <c r="B35" s="96" t="s">
        <v>15</v>
      </c>
      <c r="C35" s="96" t="s">
        <v>815</v>
      </c>
      <c r="D35" s="96" t="s">
        <v>784</v>
      </c>
      <c r="E35" s="98" t="s">
        <v>785</v>
      </c>
      <c r="F35" s="97" t="s">
        <v>1664</v>
      </c>
      <c r="G35" s="97" t="s">
        <v>760</v>
      </c>
      <c r="H35" s="97" t="s">
        <v>1665</v>
      </c>
      <c r="I35" s="97" t="s">
        <v>760</v>
      </c>
      <c r="J35" s="97" t="s">
        <v>1666</v>
      </c>
      <c r="K35" s="97" t="s">
        <v>760</v>
      </c>
      <c r="L35" s="100">
        <v>6259.2160000000003</v>
      </c>
      <c r="M35" s="97" t="s">
        <v>1662</v>
      </c>
      <c r="N35" s="100">
        <v>650737.48758910003</v>
      </c>
      <c r="O35" s="97" t="s">
        <v>1667</v>
      </c>
    </row>
    <row r="36" spans="1:15" ht="24" customHeight="1" x14ac:dyDescent="0.2">
      <c r="A36" s="97" t="s">
        <v>962</v>
      </c>
      <c r="B36" s="96" t="s">
        <v>15</v>
      </c>
      <c r="C36" s="96" t="s">
        <v>963</v>
      </c>
      <c r="D36" s="96" t="s">
        <v>784</v>
      </c>
      <c r="E36" s="98" t="s">
        <v>785</v>
      </c>
      <c r="F36" s="97" t="s">
        <v>1668</v>
      </c>
      <c r="G36" s="97" t="s">
        <v>760</v>
      </c>
      <c r="H36" s="97" t="s">
        <v>1665</v>
      </c>
      <c r="I36" s="97" t="s">
        <v>760</v>
      </c>
      <c r="J36" s="97" t="s">
        <v>1669</v>
      </c>
      <c r="K36" s="97" t="s">
        <v>760</v>
      </c>
      <c r="L36" s="100">
        <v>5923.9040960000002</v>
      </c>
      <c r="M36" s="97" t="s">
        <v>1670</v>
      </c>
      <c r="N36" s="100">
        <v>656661.39168510004</v>
      </c>
      <c r="O36" s="97" t="s">
        <v>1671</v>
      </c>
    </row>
    <row r="37" spans="1:15" ht="24" customHeight="1" x14ac:dyDescent="0.2">
      <c r="A37" s="97" t="s">
        <v>786</v>
      </c>
      <c r="B37" s="96" t="s">
        <v>15</v>
      </c>
      <c r="C37" s="96" t="s">
        <v>787</v>
      </c>
      <c r="D37" s="96" t="s">
        <v>784</v>
      </c>
      <c r="E37" s="98" t="s">
        <v>785</v>
      </c>
      <c r="F37" s="97" t="s">
        <v>1672</v>
      </c>
      <c r="G37" s="97" t="s">
        <v>760</v>
      </c>
      <c r="H37" s="97" t="s">
        <v>1665</v>
      </c>
      <c r="I37" s="97" t="s">
        <v>760</v>
      </c>
      <c r="J37" s="97" t="s">
        <v>1673</v>
      </c>
      <c r="K37" s="97" t="s">
        <v>760</v>
      </c>
      <c r="L37" s="100">
        <v>5903.2132799999999</v>
      </c>
      <c r="M37" s="97" t="s">
        <v>1670</v>
      </c>
      <c r="N37" s="100">
        <v>662564.60496509995</v>
      </c>
      <c r="O37" s="97" t="s">
        <v>1674</v>
      </c>
    </row>
    <row r="38" spans="1:15" ht="26.1" customHeight="1" x14ac:dyDescent="0.2">
      <c r="A38" s="97" t="s">
        <v>915</v>
      </c>
      <c r="B38" s="96" t="s">
        <v>15</v>
      </c>
      <c r="C38" s="96" t="s">
        <v>916</v>
      </c>
      <c r="D38" s="96" t="s">
        <v>794</v>
      </c>
      <c r="E38" s="98" t="s">
        <v>32</v>
      </c>
      <c r="F38" s="97" t="s">
        <v>1675</v>
      </c>
      <c r="G38" s="97" t="s">
        <v>760</v>
      </c>
      <c r="H38" s="97" t="s">
        <v>1676</v>
      </c>
      <c r="I38" s="97" t="s">
        <v>760</v>
      </c>
      <c r="J38" s="97" t="s">
        <v>1677</v>
      </c>
      <c r="K38" s="97" t="s">
        <v>760</v>
      </c>
      <c r="L38" s="100">
        <v>5674.3257999999996</v>
      </c>
      <c r="M38" s="97" t="s">
        <v>1678</v>
      </c>
      <c r="N38" s="100">
        <v>668238.93076510006</v>
      </c>
      <c r="O38" s="97" t="s">
        <v>1679</v>
      </c>
    </row>
    <row r="39" spans="1:15" ht="24" customHeight="1" x14ac:dyDescent="0.2">
      <c r="A39" s="97" t="s">
        <v>1309</v>
      </c>
      <c r="B39" s="96" t="s">
        <v>15</v>
      </c>
      <c r="C39" s="96" t="s">
        <v>1310</v>
      </c>
      <c r="D39" s="96" t="s">
        <v>794</v>
      </c>
      <c r="E39" s="98" t="s">
        <v>50</v>
      </c>
      <c r="F39" s="97" t="s">
        <v>1680</v>
      </c>
      <c r="G39" s="97" t="s">
        <v>760</v>
      </c>
      <c r="H39" s="97" t="s">
        <v>1681</v>
      </c>
      <c r="I39" s="97" t="s">
        <v>760</v>
      </c>
      <c r="J39" s="97" t="s">
        <v>1682</v>
      </c>
      <c r="K39" s="97" t="s">
        <v>760</v>
      </c>
      <c r="L39" s="100">
        <v>5579.3555999999999</v>
      </c>
      <c r="M39" s="97" t="s">
        <v>1683</v>
      </c>
      <c r="N39" s="100">
        <v>673818.28636509995</v>
      </c>
      <c r="O39" s="97" t="s">
        <v>1684</v>
      </c>
    </row>
    <row r="40" spans="1:15" ht="26.1" customHeight="1" x14ac:dyDescent="0.2">
      <c r="A40" s="97" t="s">
        <v>1342</v>
      </c>
      <c r="B40" s="96" t="s">
        <v>15</v>
      </c>
      <c r="C40" s="96" t="s">
        <v>1343</v>
      </c>
      <c r="D40" s="96" t="s">
        <v>794</v>
      </c>
      <c r="E40" s="98" t="s">
        <v>32</v>
      </c>
      <c r="F40" s="97" t="s">
        <v>1685</v>
      </c>
      <c r="G40" s="97" t="s">
        <v>760</v>
      </c>
      <c r="H40" s="97" t="s">
        <v>1686</v>
      </c>
      <c r="I40" s="97" t="s">
        <v>760</v>
      </c>
      <c r="J40" s="97" t="s">
        <v>1687</v>
      </c>
      <c r="K40" s="97" t="s">
        <v>760</v>
      </c>
      <c r="L40" s="100">
        <v>5396.625</v>
      </c>
      <c r="M40" s="97" t="s">
        <v>1688</v>
      </c>
      <c r="N40" s="100">
        <v>679214.91136509995</v>
      </c>
      <c r="O40" s="97" t="s">
        <v>1689</v>
      </c>
    </row>
    <row r="41" spans="1:15" ht="26.1" customHeight="1" x14ac:dyDescent="0.2">
      <c r="A41" s="97" t="s">
        <v>1372</v>
      </c>
      <c r="B41" s="96" t="s">
        <v>31</v>
      </c>
      <c r="C41" s="96" t="s">
        <v>1373</v>
      </c>
      <c r="D41" s="96" t="s">
        <v>794</v>
      </c>
      <c r="E41" s="98" t="s">
        <v>134</v>
      </c>
      <c r="F41" s="97" t="s">
        <v>1690</v>
      </c>
      <c r="G41" s="97" t="s">
        <v>760</v>
      </c>
      <c r="H41" s="97" t="s">
        <v>1691</v>
      </c>
      <c r="I41" s="97" t="s">
        <v>760</v>
      </c>
      <c r="J41" s="97" t="s">
        <v>1692</v>
      </c>
      <c r="K41" s="97" t="s">
        <v>760</v>
      </c>
      <c r="L41" s="100">
        <v>4816.0896000000002</v>
      </c>
      <c r="M41" s="97" t="s">
        <v>1693</v>
      </c>
      <c r="N41" s="100">
        <v>684031.00096510001</v>
      </c>
      <c r="O41" s="97" t="s">
        <v>1694</v>
      </c>
    </row>
    <row r="42" spans="1:15" ht="26.1" customHeight="1" x14ac:dyDescent="0.2">
      <c r="A42" s="97" t="s">
        <v>1382</v>
      </c>
      <c r="B42" s="96" t="s">
        <v>31</v>
      </c>
      <c r="C42" s="96" t="s">
        <v>1383</v>
      </c>
      <c r="D42" s="96" t="s">
        <v>794</v>
      </c>
      <c r="E42" s="98" t="s">
        <v>78</v>
      </c>
      <c r="F42" s="97" t="s">
        <v>1695</v>
      </c>
      <c r="G42" s="97" t="s">
        <v>760</v>
      </c>
      <c r="H42" s="97" t="s">
        <v>1696</v>
      </c>
      <c r="I42" s="97" t="s">
        <v>760</v>
      </c>
      <c r="J42" s="97" t="s">
        <v>1697</v>
      </c>
      <c r="K42" s="97" t="s">
        <v>760</v>
      </c>
      <c r="L42" s="100">
        <v>4800.51</v>
      </c>
      <c r="M42" s="97" t="s">
        <v>1693</v>
      </c>
      <c r="N42" s="100">
        <v>688831.51096510002</v>
      </c>
      <c r="O42" s="97" t="s">
        <v>1698</v>
      </c>
    </row>
    <row r="43" spans="1:15" ht="26.1" customHeight="1" x14ac:dyDescent="0.2">
      <c r="A43" s="97" t="s">
        <v>864</v>
      </c>
      <c r="B43" s="96" t="s">
        <v>15</v>
      </c>
      <c r="C43" s="96" t="s">
        <v>111</v>
      </c>
      <c r="D43" s="96" t="s">
        <v>794</v>
      </c>
      <c r="E43" s="98" t="s">
        <v>78</v>
      </c>
      <c r="F43" s="97" t="s">
        <v>1699</v>
      </c>
      <c r="G43" s="97" t="s">
        <v>760</v>
      </c>
      <c r="H43" s="97" t="s">
        <v>1700</v>
      </c>
      <c r="I43" s="97" t="s">
        <v>760</v>
      </c>
      <c r="J43" s="97" t="s">
        <v>1701</v>
      </c>
      <c r="K43" s="97" t="s">
        <v>760</v>
      </c>
      <c r="L43" s="100">
        <v>4465.76</v>
      </c>
      <c r="M43" s="97" t="s">
        <v>1702</v>
      </c>
      <c r="N43" s="100">
        <v>693297.27096510003</v>
      </c>
      <c r="O43" s="97" t="s">
        <v>1703</v>
      </c>
    </row>
    <row r="44" spans="1:15" ht="24" customHeight="1" x14ac:dyDescent="0.2">
      <c r="A44" s="97" t="s">
        <v>834</v>
      </c>
      <c r="B44" s="96" t="s">
        <v>15</v>
      </c>
      <c r="C44" s="96" t="s">
        <v>835</v>
      </c>
      <c r="D44" s="96" t="s">
        <v>794</v>
      </c>
      <c r="E44" s="98" t="s">
        <v>785</v>
      </c>
      <c r="F44" s="97" t="s">
        <v>1704</v>
      </c>
      <c r="G44" s="97" t="s">
        <v>760</v>
      </c>
      <c r="H44" s="97" t="s">
        <v>1705</v>
      </c>
      <c r="I44" s="97" t="s">
        <v>760</v>
      </c>
      <c r="J44" s="97" t="s">
        <v>1706</v>
      </c>
      <c r="K44" s="97" t="s">
        <v>760</v>
      </c>
      <c r="L44" s="100">
        <v>4447.9512000000004</v>
      </c>
      <c r="M44" s="97" t="s">
        <v>1702</v>
      </c>
      <c r="N44" s="100">
        <v>697745.22216510004</v>
      </c>
      <c r="O44" s="97" t="s">
        <v>1707</v>
      </c>
    </row>
    <row r="45" spans="1:15" ht="24" customHeight="1" x14ac:dyDescent="0.2">
      <c r="A45" s="97" t="s">
        <v>812</v>
      </c>
      <c r="B45" s="96" t="s">
        <v>15</v>
      </c>
      <c r="C45" s="96" t="s">
        <v>813</v>
      </c>
      <c r="D45" s="96" t="s">
        <v>784</v>
      </c>
      <c r="E45" s="98" t="s">
        <v>785</v>
      </c>
      <c r="F45" s="97" t="s">
        <v>1708</v>
      </c>
      <c r="G45" s="97" t="s">
        <v>760</v>
      </c>
      <c r="H45" s="97" t="s">
        <v>1537</v>
      </c>
      <c r="I45" s="97" t="s">
        <v>760</v>
      </c>
      <c r="J45" s="97" t="s">
        <v>1709</v>
      </c>
      <c r="K45" s="97" t="s">
        <v>760</v>
      </c>
      <c r="L45" s="100">
        <v>4300.3375999999998</v>
      </c>
      <c r="M45" s="97" t="s">
        <v>1710</v>
      </c>
      <c r="N45" s="100">
        <v>702045.55976510001</v>
      </c>
      <c r="O45" s="97" t="s">
        <v>1711</v>
      </c>
    </row>
    <row r="46" spans="1:15" ht="39" customHeight="1" x14ac:dyDescent="0.2">
      <c r="A46" s="97" t="s">
        <v>1346</v>
      </c>
      <c r="B46" s="96" t="s">
        <v>15</v>
      </c>
      <c r="C46" s="96" t="s">
        <v>1347</v>
      </c>
      <c r="D46" s="96" t="s">
        <v>794</v>
      </c>
      <c r="E46" s="98" t="s">
        <v>32</v>
      </c>
      <c r="F46" s="97" t="s">
        <v>1712</v>
      </c>
      <c r="G46" s="97" t="s">
        <v>760</v>
      </c>
      <c r="H46" s="97" t="s">
        <v>1713</v>
      </c>
      <c r="I46" s="97" t="s">
        <v>760</v>
      </c>
      <c r="J46" s="97" t="s">
        <v>1714</v>
      </c>
      <c r="K46" s="97" t="s">
        <v>760</v>
      </c>
      <c r="L46" s="100">
        <v>4284.5</v>
      </c>
      <c r="M46" s="97" t="s">
        <v>1710</v>
      </c>
      <c r="N46" s="100">
        <v>706330.05976510001</v>
      </c>
      <c r="O46" s="97" t="s">
        <v>1715</v>
      </c>
    </row>
    <row r="47" spans="1:15" ht="24" customHeight="1" x14ac:dyDescent="0.2">
      <c r="A47" s="97" t="s">
        <v>1716</v>
      </c>
      <c r="B47" s="96" t="s">
        <v>31</v>
      </c>
      <c r="C47" s="96" t="s">
        <v>1717</v>
      </c>
      <c r="D47" s="96" t="s">
        <v>784</v>
      </c>
      <c r="E47" s="98" t="s">
        <v>785</v>
      </c>
      <c r="F47" s="97" t="s">
        <v>1718</v>
      </c>
      <c r="G47" s="97" t="s">
        <v>760</v>
      </c>
      <c r="H47" s="97" t="s">
        <v>1719</v>
      </c>
      <c r="I47" s="97" t="s">
        <v>760</v>
      </c>
      <c r="J47" s="97" t="s">
        <v>1720</v>
      </c>
      <c r="K47" s="97" t="s">
        <v>760</v>
      </c>
      <c r="L47" s="100">
        <v>4275.5489488800004</v>
      </c>
      <c r="M47" s="97" t="s">
        <v>1710</v>
      </c>
      <c r="N47" s="100">
        <v>710605.60871399997</v>
      </c>
      <c r="O47" s="97" t="s">
        <v>1721</v>
      </c>
    </row>
    <row r="48" spans="1:15" ht="24" customHeight="1" x14ac:dyDescent="0.2">
      <c r="A48" s="97" t="s">
        <v>960</v>
      </c>
      <c r="B48" s="96" t="s">
        <v>15</v>
      </c>
      <c r="C48" s="96" t="s">
        <v>961</v>
      </c>
      <c r="D48" s="96" t="s">
        <v>784</v>
      </c>
      <c r="E48" s="98" t="s">
        <v>785</v>
      </c>
      <c r="F48" s="97" t="s">
        <v>1722</v>
      </c>
      <c r="G48" s="97" t="s">
        <v>760</v>
      </c>
      <c r="H48" s="97" t="s">
        <v>1537</v>
      </c>
      <c r="I48" s="97" t="s">
        <v>760</v>
      </c>
      <c r="J48" s="97" t="s">
        <v>1723</v>
      </c>
      <c r="K48" s="97" t="s">
        <v>760</v>
      </c>
      <c r="L48" s="100">
        <v>4137.841864</v>
      </c>
      <c r="M48" s="97" t="s">
        <v>1724</v>
      </c>
      <c r="N48" s="100">
        <v>714743.45057800005</v>
      </c>
      <c r="O48" s="97" t="s">
        <v>1725</v>
      </c>
    </row>
    <row r="49" spans="1:15" ht="26.1" customHeight="1" x14ac:dyDescent="0.2">
      <c r="A49" s="88" t="s">
        <v>966</v>
      </c>
      <c r="B49" s="87" t="s">
        <v>15</v>
      </c>
      <c r="C49" s="87" t="s">
        <v>967</v>
      </c>
      <c r="D49" s="87" t="s">
        <v>794</v>
      </c>
      <c r="E49" s="89" t="s">
        <v>78</v>
      </c>
      <c r="F49" s="88" t="s">
        <v>1726</v>
      </c>
      <c r="G49" s="88" t="s">
        <v>760</v>
      </c>
      <c r="H49" s="88" t="s">
        <v>1727</v>
      </c>
      <c r="I49" s="88" t="s">
        <v>760</v>
      </c>
      <c r="J49" s="88" t="s">
        <v>1728</v>
      </c>
      <c r="K49" s="88" t="s">
        <v>760</v>
      </c>
      <c r="L49" s="91">
        <v>4069.8</v>
      </c>
      <c r="M49" s="88" t="s">
        <v>1729</v>
      </c>
      <c r="N49" s="91">
        <v>718813.25057799998</v>
      </c>
      <c r="O49" s="88" t="s">
        <v>1730</v>
      </c>
    </row>
    <row r="50" spans="1:15" ht="39" customHeight="1" x14ac:dyDescent="0.2">
      <c r="A50" s="88" t="s">
        <v>852</v>
      </c>
      <c r="B50" s="87" t="s">
        <v>15</v>
      </c>
      <c r="C50" s="87" t="s">
        <v>853</v>
      </c>
      <c r="D50" s="87" t="s">
        <v>794</v>
      </c>
      <c r="E50" s="89" t="s">
        <v>785</v>
      </c>
      <c r="F50" s="88" t="s">
        <v>1731</v>
      </c>
      <c r="G50" s="88" t="s">
        <v>760</v>
      </c>
      <c r="H50" s="88" t="s">
        <v>1732</v>
      </c>
      <c r="I50" s="88" t="s">
        <v>760</v>
      </c>
      <c r="J50" s="88" t="s">
        <v>1733</v>
      </c>
      <c r="K50" s="88" t="s">
        <v>760</v>
      </c>
      <c r="L50" s="91">
        <v>4002.4052785200001</v>
      </c>
      <c r="M50" s="88" t="s">
        <v>1729</v>
      </c>
      <c r="N50" s="91">
        <v>722815.65585650003</v>
      </c>
      <c r="O50" s="88" t="s">
        <v>1734</v>
      </c>
    </row>
    <row r="51" spans="1:15" ht="26.1" customHeight="1" x14ac:dyDescent="0.2">
      <c r="A51" s="88" t="s">
        <v>980</v>
      </c>
      <c r="B51" s="87" t="s">
        <v>15</v>
      </c>
      <c r="C51" s="87" t="s">
        <v>981</v>
      </c>
      <c r="D51" s="87" t="s">
        <v>794</v>
      </c>
      <c r="E51" s="89" t="s">
        <v>982</v>
      </c>
      <c r="F51" s="88" t="s">
        <v>1735</v>
      </c>
      <c r="G51" s="88" t="s">
        <v>760</v>
      </c>
      <c r="H51" s="88" t="s">
        <v>1736</v>
      </c>
      <c r="I51" s="88" t="s">
        <v>760</v>
      </c>
      <c r="J51" s="88" t="s">
        <v>1737</v>
      </c>
      <c r="K51" s="88" t="s">
        <v>760</v>
      </c>
      <c r="L51" s="91">
        <v>3857.51735775</v>
      </c>
      <c r="M51" s="88" t="s">
        <v>1738</v>
      </c>
      <c r="N51" s="91">
        <v>726673.17321429995</v>
      </c>
      <c r="O51" s="88" t="s">
        <v>1739</v>
      </c>
    </row>
    <row r="52" spans="1:15" ht="24" customHeight="1" x14ac:dyDescent="0.2">
      <c r="A52" s="88" t="s">
        <v>788</v>
      </c>
      <c r="B52" s="87" t="s">
        <v>15</v>
      </c>
      <c r="C52" s="87" t="s">
        <v>789</v>
      </c>
      <c r="D52" s="87" t="s">
        <v>784</v>
      </c>
      <c r="E52" s="89" t="s">
        <v>785</v>
      </c>
      <c r="F52" s="88" t="s">
        <v>1740</v>
      </c>
      <c r="G52" s="88" t="s">
        <v>760</v>
      </c>
      <c r="H52" s="88" t="s">
        <v>1537</v>
      </c>
      <c r="I52" s="88" t="s">
        <v>760</v>
      </c>
      <c r="J52" s="88" t="s">
        <v>1741</v>
      </c>
      <c r="K52" s="88" t="s">
        <v>760</v>
      </c>
      <c r="L52" s="91">
        <v>3762.616</v>
      </c>
      <c r="M52" s="88" t="s">
        <v>1742</v>
      </c>
      <c r="N52" s="91">
        <v>730435.78921429999</v>
      </c>
      <c r="O52" s="88" t="s">
        <v>1743</v>
      </c>
    </row>
    <row r="53" spans="1:15" ht="26.1" customHeight="1" x14ac:dyDescent="0.2">
      <c r="A53" s="88" t="s">
        <v>1209</v>
      </c>
      <c r="B53" s="87" t="s">
        <v>15</v>
      </c>
      <c r="C53" s="87" t="s">
        <v>1210</v>
      </c>
      <c r="D53" s="87" t="s">
        <v>794</v>
      </c>
      <c r="E53" s="89" t="s">
        <v>78</v>
      </c>
      <c r="F53" s="88" t="s">
        <v>1744</v>
      </c>
      <c r="G53" s="88" t="s">
        <v>760</v>
      </c>
      <c r="H53" s="88" t="s">
        <v>1745</v>
      </c>
      <c r="I53" s="88" t="s">
        <v>760</v>
      </c>
      <c r="J53" s="88" t="s">
        <v>1746</v>
      </c>
      <c r="K53" s="88" t="s">
        <v>760</v>
      </c>
      <c r="L53" s="91">
        <v>3598.56</v>
      </c>
      <c r="M53" s="88" t="s">
        <v>1747</v>
      </c>
      <c r="N53" s="91">
        <v>734034.34921430005</v>
      </c>
      <c r="O53" s="88" t="s">
        <v>1748</v>
      </c>
    </row>
    <row r="54" spans="1:15" ht="51.95" customHeight="1" x14ac:dyDescent="0.2">
      <c r="A54" s="88" t="s">
        <v>810</v>
      </c>
      <c r="B54" s="87" t="s">
        <v>15</v>
      </c>
      <c r="C54" s="87" t="s">
        <v>811</v>
      </c>
      <c r="D54" s="87" t="s">
        <v>794</v>
      </c>
      <c r="E54" s="89" t="s">
        <v>36</v>
      </c>
      <c r="F54" s="88" t="s">
        <v>1749</v>
      </c>
      <c r="G54" s="88" t="s">
        <v>760</v>
      </c>
      <c r="H54" s="88" t="s">
        <v>1750</v>
      </c>
      <c r="I54" s="88" t="s">
        <v>760</v>
      </c>
      <c r="J54" s="88" t="s">
        <v>1751</v>
      </c>
      <c r="K54" s="88" t="s">
        <v>760</v>
      </c>
      <c r="L54" s="91">
        <v>3578.49</v>
      </c>
      <c r="M54" s="88" t="s">
        <v>1747</v>
      </c>
      <c r="N54" s="91">
        <v>737612.83921430004</v>
      </c>
      <c r="O54" s="88" t="s">
        <v>1752</v>
      </c>
    </row>
    <row r="55" spans="1:15" ht="24" customHeight="1" x14ac:dyDescent="0.2">
      <c r="A55" s="88" t="s">
        <v>985</v>
      </c>
      <c r="B55" s="87" t="s">
        <v>15</v>
      </c>
      <c r="C55" s="87" t="s">
        <v>986</v>
      </c>
      <c r="D55" s="87" t="s">
        <v>794</v>
      </c>
      <c r="E55" s="89" t="s">
        <v>134</v>
      </c>
      <c r="F55" s="88" t="s">
        <v>1753</v>
      </c>
      <c r="G55" s="88" t="s">
        <v>760</v>
      </c>
      <c r="H55" s="88" t="s">
        <v>1754</v>
      </c>
      <c r="I55" s="88" t="s">
        <v>760</v>
      </c>
      <c r="J55" s="88" t="s">
        <v>1755</v>
      </c>
      <c r="K55" s="88" t="s">
        <v>760</v>
      </c>
      <c r="L55" s="91">
        <v>3528.7058099999999</v>
      </c>
      <c r="M55" s="88" t="s">
        <v>1756</v>
      </c>
      <c r="N55" s="91">
        <v>741141.54502429999</v>
      </c>
      <c r="O55" s="88" t="s">
        <v>1757</v>
      </c>
    </row>
    <row r="56" spans="1:15" ht="26.1" customHeight="1" x14ac:dyDescent="0.2">
      <c r="A56" s="88" t="s">
        <v>1326</v>
      </c>
      <c r="B56" s="87" t="s">
        <v>15</v>
      </c>
      <c r="C56" s="87" t="s">
        <v>1327</v>
      </c>
      <c r="D56" s="87" t="s">
        <v>794</v>
      </c>
      <c r="E56" s="89" t="s">
        <v>50</v>
      </c>
      <c r="F56" s="88" t="s">
        <v>1758</v>
      </c>
      <c r="G56" s="88" t="s">
        <v>760</v>
      </c>
      <c r="H56" s="88" t="s">
        <v>1759</v>
      </c>
      <c r="I56" s="88" t="s">
        <v>760</v>
      </c>
      <c r="J56" s="88" t="s">
        <v>1760</v>
      </c>
      <c r="K56" s="88" t="s">
        <v>760</v>
      </c>
      <c r="L56" s="91">
        <v>3501.5818199999999</v>
      </c>
      <c r="M56" s="88" t="s">
        <v>1756</v>
      </c>
      <c r="N56" s="91">
        <v>744643.12684429996</v>
      </c>
      <c r="O56" s="88" t="s">
        <v>1761</v>
      </c>
    </row>
    <row r="57" spans="1:15" ht="24" customHeight="1" x14ac:dyDescent="0.2">
      <c r="A57" s="88" t="s">
        <v>1351</v>
      </c>
      <c r="B57" s="87" t="s">
        <v>15</v>
      </c>
      <c r="C57" s="87" t="s">
        <v>1352</v>
      </c>
      <c r="D57" s="87" t="s">
        <v>794</v>
      </c>
      <c r="E57" s="89" t="s">
        <v>5</v>
      </c>
      <c r="F57" s="88" t="s">
        <v>1762</v>
      </c>
      <c r="G57" s="88" t="s">
        <v>760</v>
      </c>
      <c r="H57" s="88" t="s">
        <v>1763</v>
      </c>
      <c r="I57" s="88" t="s">
        <v>760</v>
      </c>
      <c r="J57" s="88" t="s">
        <v>1764</v>
      </c>
      <c r="K57" s="88" t="s">
        <v>760</v>
      </c>
      <c r="L57" s="91">
        <v>3465.6</v>
      </c>
      <c r="M57" s="88" t="s">
        <v>1756</v>
      </c>
      <c r="N57" s="91">
        <v>748108.72684430005</v>
      </c>
      <c r="O57" s="88" t="s">
        <v>1765</v>
      </c>
    </row>
    <row r="58" spans="1:15" ht="24" customHeight="1" x14ac:dyDescent="0.2">
      <c r="A58" s="88" t="s">
        <v>865</v>
      </c>
      <c r="B58" s="87" t="s">
        <v>15</v>
      </c>
      <c r="C58" s="87" t="s">
        <v>866</v>
      </c>
      <c r="D58" s="87" t="s">
        <v>784</v>
      </c>
      <c r="E58" s="89" t="s">
        <v>785</v>
      </c>
      <c r="F58" s="88" t="s">
        <v>1766</v>
      </c>
      <c r="G58" s="88" t="s">
        <v>760</v>
      </c>
      <c r="H58" s="88" t="s">
        <v>1537</v>
      </c>
      <c r="I58" s="88" t="s">
        <v>760</v>
      </c>
      <c r="J58" s="88" t="s">
        <v>1767</v>
      </c>
      <c r="K58" s="88" t="s">
        <v>760</v>
      </c>
      <c r="L58" s="91">
        <v>3454.641216</v>
      </c>
      <c r="M58" s="88" t="s">
        <v>1756</v>
      </c>
      <c r="N58" s="91">
        <v>751563.36806030001</v>
      </c>
      <c r="O58" s="88" t="s">
        <v>1768</v>
      </c>
    </row>
    <row r="59" spans="1:15" ht="24" customHeight="1" x14ac:dyDescent="0.2">
      <c r="A59" s="88" t="s">
        <v>1320</v>
      </c>
      <c r="B59" s="87" t="s">
        <v>275</v>
      </c>
      <c r="C59" s="87" t="s">
        <v>1321</v>
      </c>
      <c r="D59" s="87" t="s">
        <v>784</v>
      </c>
      <c r="E59" s="89" t="s">
        <v>785</v>
      </c>
      <c r="F59" s="88" t="s">
        <v>1769</v>
      </c>
      <c r="G59" s="88" t="s">
        <v>760</v>
      </c>
      <c r="H59" s="88" t="s">
        <v>1770</v>
      </c>
      <c r="I59" s="88" t="s">
        <v>760</v>
      </c>
      <c r="J59" s="88" t="s">
        <v>1771</v>
      </c>
      <c r="K59" s="88" t="s">
        <v>760</v>
      </c>
      <c r="L59" s="91">
        <v>3378.7341000000001</v>
      </c>
      <c r="M59" s="88" t="s">
        <v>1772</v>
      </c>
      <c r="N59" s="91">
        <v>754942.10216030001</v>
      </c>
      <c r="O59" s="88" t="s">
        <v>1773</v>
      </c>
    </row>
    <row r="60" spans="1:15" ht="51.95" customHeight="1" x14ac:dyDescent="0.2">
      <c r="A60" s="88" t="s">
        <v>1294</v>
      </c>
      <c r="B60" s="87" t="s">
        <v>15</v>
      </c>
      <c r="C60" s="87" t="s">
        <v>1295</v>
      </c>
      <c r="D60" s="87" t="s">
        <v>794</v>
      </c>
      <c r="E60" s="89" t="s">
        <v>5</v>
      </c>
      <c r="F60" s="88" t="s">
        <v>1774</v>
      </c>
      <c r="G60" s="88" t="s">
        <v>760</v>
      </c>
      <c r="H60" s="88" t="s">
        <v>1775</v>
      </c>
      <c r="I60" s="88" t="s">
        <v>760</v>
      </c>
      <c r="J60" s="88" t="s">
        <v>1776</v>
      </c>
      <c r="K60" s="88" t="s">
        <v>760</v>
      </c>
      <c r="L60" s="91">
        <v>3350.52</v>
      </c>
      <c r="M60" s="88" t="s">
        <v>1777</v>
      </c>
      <c r="N60" s="91">
        <v>758292.62216030003</v>
      </c>
      <c r="O60" s="88" t="s">
        <v>1778</v>
      </c>
    </row>
    <row r="61" spans="1:15" ht="51.95" customHeight="1" x14ac:dyDescent="0.2">
      <c r="A61" s="88" t="s">
        <v>1280</v>
      </c>
      <c r="B61" s="87" t="s">
        <v>15</v>
      </c>
      <c r="C61" s="87" t="s">
        <v>1281</v>
      </c>
      <c r="D61" s="87" t="s">
        <v>794</v>
      </c>
      <c r="E61" s="89" t="s">
        <v>5</v>
      </c>
      <c r="F61" s="88" t="s">
        <v>1779</v>
      </c>
      <c r="G61" s="88" t="s">
        <v>760</v>
      </c>
      <c r="H61" s="88" t="s">
        <v>1780</v>
      </c>
      <c r="I61" s="88" t="s">
        <v>760</v>
      </c>
      <c r="J61" s="88" t="s">
        <v>1781</v>
      </c>
      <c r="K61" s="88" t="s">
        <v>760</v>
      </c>
      <c r="L61" s="91">
        <v>3190.1083199999998</v>
      </c>
      <c r="M61" s="88" t="s">
        <v>1782</v>
      </c>
      <c r="N61" s="91">
        <v>761482.73048030003</v>
      </c>
      <c r="O61" s="88" t="s">
        <v>1783</v>
      </c>
    </row>
    <row r="62" spans="1:15" ht="26.1" customHeight="1" x14ac:dyDescent="0.2">
      <c r="A62" s="88" t="s">
        <v>844</v>
      </c>
      <c r="B62" s="87" t="s">
        <v>15</v>
      </c>
      <c r="C62" s="87" t="s">
        <v>845</v>
      </c>
      <c r="D62" s="87" t="s">
        <v>794</v>
      </c>
      <c r="E62" s="89" t="s">
        <v>785</v>
      </c>
      <c r="F62" s="88" t="s">
        <v>1784</v>
      </c>
      <c r="G62" s="88" t="s">
        <v>760</v>
      </c>
      <c r="H62" s="88" t="s">
        <v>1785</v>
      </c>
      <c r="I62" s="88" t="s">
        <v>760</v>
      </c>
      <c r="J62" s="88" t="s">
        <v>1786</v>
      </c>
      <c r="K62" s="88" t="s">
        <v>760</v>
      </c>
      <c r="L62" s="91">
        <v>3117.12</v>
      </c>
      <c r="M62" s="88" t="s">
        <v>1787</v>
      </c>
      <c r="N62" s="91">
        <v>764599.85048030003</v>
      </c>
      <c r="O62" s="88" t="s">
        <v>1788</v>
      </c>
    </row>
    <row r="63" spans="1:15" ht="26.1" customHeight="1" x14ac:dyDescent="0.2">
      <c r="A63" s="88" t="s">
        <v>1248</v>
      </c>
      <c r="B63" s="87" t="s">
        <v>275</v>
      </c>
      <c r="C63" s="87" t="s">
        <v>1249</v>
      </c>
      <c r="D63" s="87" t="s">
        <v>794</v>
      </c>
      <c r="E63" s="89" t="s">
        <v>1126</v>
      </c>
      <c r="F63" s="88" t="s">
        <v>1615</v>
      </c>
      <c r="G63" s="88" t="s">
        <v>760</v>
      </c>
      <c r="H63" s="88" t="s">
        <v>1789</v>
      </c>
      <c r="I63" s="88" t="s">
        <v>760</v>
      </c>
      <c r="J63" s="88" t="s">
        <v>1789</v>
      </c>
      <c r="K63" s="88" t="s">
        <v>760</v>
      </c>
      <c r="L63" s="91">
        <v>2930.33</v>
      </c>
      <c r="M63" s="88" t="s">
        <v>1790</v>
      </c>
      <c r="N63" s="91">
        <v>767530.18048029998</v>
      </c>
      <c r="O63" s="88" t="s">
        <v>1791</v>
      </c>
    </row>
    <row r="64" spans="1:15" ht="39" customHeight="1" x14ac:dyDescent="0.2">
      <c r="A64" s="88" t="s">
        <v>950</v>
      </c>
      <c r="B64" s="87" t="s">
        <v>15</v>
      </c>
      <c r="C64" s="87" t="s">
        <v>951</v>
      </c>
      <c r="D64" s="87" t="s">
        <v>794</v>
      </c>
      <c r="E64" s="89" t="s">
        <v>5</v>
      </c>
      <c r="F64" s="88" t="s">
        <v>1792</v>
      </c>
      <c r="G64" s="88" t="s">
        <v>760</v>
      </c>
      <c r="H64" s="88" t="s">
        <v>1793</v>
      </c>
      <c r="I64" s="88" t="s">
        <v>760</v>
      </c>
      <c r="J64" s="88" t="s">
        <v>1794</v>
      </c>
      <c r="K64" s="88" t="s">
        <v>760</v>
      </c>
      <c r="L64" s="91">
        <v>2919.5623999999998</v>
      </c>
      <c r="M64" s="88" t="s">
        <v>1790</v>
      </c>
      <c r="N64" s="91">
        <v>770449.74288030004</v>
      </c>
      <c r="O64" s="88" t="s">
        <v>1795</v>
      </c>
    </row>
    <row r="65" spans="1:15" ht="26.1" customHeight="1" x14ac:dyDescent="0.2">
      <c r="A65" s="88" t="s">
        <v>1242</v>
      </c>
      <c r="B65" s="87" t="s">
        <v>240</v>
      </c>
      <c r="C65" s="87" t="s">
        <v>1243</v>
      </c>
      <c r="D65" s="87" t="s">
        <v>794</v>
      </c>
      <c r="E65" s="89" t="s">
        <v>32</v>
      </c>
      <c r="F65" s="88" t="s">
        <v>1796</v>
      </c>
      <c r="G65" s="88" t="s">
        <v>760</v>
      </c>
      <c r="H65" s="88" t="s">
        <v>1797</v>
      </c>
      <c r="I65" s="88" t="s">
        <v>760</v>
      </c>
      <c r="J65" s="88" t="s">
        <v>1798</v>
      </c>
      <c r="K65" s="88" t="s">
        <v>760</v>
      </c>
      <c r="L65" s="91">
        <v>2885.54</v>
      </c>
      <c r="M65" s="88" t="s">
        <v>1799</v>
      </c>
      <c r="N65" s="91">
        <v>773335.28288029996</v>
      </c>
      <c r="O65" s="88" t="s">
        <v>1800</v>
      </c>
    </row>
    <row r="66" spans="1:15" ht="26.1" customHeight="1" x14ac:dyDescent="0.2">
      <c r="A66" s="88" t="s">
        <v>923</v>
      </c>
      <c r="B66" s="87" t="s">
        <v>15</v>
      </c>
      <c r="C66" s="87" t="s">
        <v>924</v>
      </c>
      <c r="D66" s="87" t="s">
        <v>794</v>
      </c>
      <c r="E66" s="89" t="s">
        <v>5</v>
      </c>
      <c r="F66" s="88" t="s">
        <v>1801</v>
      </c>
      <c r="G66" s="88" t="s">
        <v>760</v>
      </c>
      <c r="H66" s="88" t="s">
        <v>1802</v>
      </c>
      <c r="I66" s="88" t="s">
        <v>760</v>
      </c>
      <c r="J66" s="88" t="s">
        <v>1803</v>
      </c>
      <c r="K66" s="88" t="s">
        <v>760</v>
      </c>
      <c r="L66" s="91">
        <v>2761.5740000000001</v>
      </c>
      <c r="M66" s="88" t="s">
        <v>1804</v>
      </c>
      <c r="N66" s="91">
        <v>776096.85688029998</v>
      </c>
      <c r="O66" s="88" t="s">
        <v>1805</v>
      </c>
    </row>
    <row r="67" spans="1:15" ht="24" customHeight="1" x14ac:dyDescent="0.2">
      <c r="A67" s="88" t="s">
        <v>897</v>
      </c>
      <c r="B67" s="87" t="s">
        <v>15</v>
      </c>
      <c r="C67" s="87" t="s">
        <v>898</v>
      </c>
      <c r="D67" s="87" t="s">
        <v>794</v>
      </c>
      <c r="E67" s="89" t="s">
        <v>50</v>
      </c>
      <c r="F67" s="88" t="s">
        <v>1806</v>
      </c>
      <c r="G67" s="88" t="s">
        <v>760</v>
      </c>
      <c r="H67" s="88" t="s">
        <v>1807</v>
      </c>
      <c r="I67" s="88" t="s">
        <v>760</v>
      </c>
      <c r="J67" s="88" t="s">
        <v>1808</v>
      </c>
      <c r="K67" s="88" t="s">
        <v>760</v>
      </c>
      <c r="L67" s="91">
        <v>2609.6665985999998</v>
      </c>
      <c r="M67" s="88" t="s">
        <v>1809</v>
      </c>
      <c r="N67" s="91">
        <v>778706.52347889997</v>
      </c>
      <c r="O67" s="88" t="s">
        <v>1810</v>
      </c>
    </row>
    <row r="68" spans="1:15" ht="26.1" customHeight="1" x14ac:dyDescent="0.2">
      <c r="A68" s="88" t="s">
        <v>850</v>
      </c>
      <c r="B68" s="87" t="s">
        <v>15</v>
      </c>
      <c r="C68" s="87" t="s">
        <v>851</v>
      </c>
      <c r="D68" s="87" t="s">
        <v>794</v>
      </c>
      <c r="E68" s="89" t="s">
        <v>785</v>
      </c>
      <c r="F68" s="88" t="s">
        <v>1811</v>
      </c>
      <c r="G68" s="88" t="s">
        <v>760</v>
      </c>
      <c r="H68" s="88" t="s">
        <v>1812</v>
      </c>
      <c r="I68" s="88" t="s">
        <v>760</v>
      </c>
      <c r="J68" s="88" t="s">
        <v>1813</v>
      </c>
      <c r="K68" s="88" t="s">
        <v>760</v>
      </c>
      <c r="L68" s="91">
        <v>2605.8006059999998</v>
      </c>
      <c r="M68" s="88" t="s">
        <v>1809</v>
      </c>
      <c r="N68" s="91">
        <v>781312.32408489997</v>
      </c>
      <c r="O68" s="88" t="s">
        <v>1814</v>
      </c>
    </row>
    <row r="69" spans="1:15" ht="26.1" customHeight="1" x14ac:dyDescent="0.2">
      <c r="A69" s="88" t="s">
        <v>964</v>
      </c>
      <c r="B69" s="87" t="s">
        <v>15</v>
      </c>
      <c r="C69" s="87" t="s">
        <v>965</v>
      </c>
      <c r="D69" s="87" t="s">
        <v>794</v>
      </c>
      <c r="E69" s="89" t="s">
        <v>134</v>
      </c>
      <c r="F69" s="88" t="s">
        <v>1815</v>
      </c>
      <c r="G69" s="88" t="s">
        <v>760</v>
      </c>
      <c r="H69" s="88" t="s">
        <v>1816</v>
      </c>
      <c r="I69" s="88" t="s">
        <v>760</v>
      </c>
      <c r="J69" s="88" t="s">
        <v>1817</v>
      </c>
      <c r="K69" s="88" t="s">
        <v>760</v>
      </c>
      <c r="L69" s="91">
        <v>2602.9537366</v>
      </c>
      <c r="M69" s="88" t="s">
        <v>1809</v>
      </c>
      <c r="N69" s="91">
        <v>783915.27782149997</v>
      </c>
      <c r="O69" s="88" t="s">
        <v>1818</v>
      </c>
    </row>
    <row r="70" spans="1:15" ht="26.1" customHeight="1" x14ac:dyDescent="0.2">
      <c r="A70" s="88" t="s">
        <v>1024</v>
      </c>
      <c r="B70" s="87" t="s">
        <v>240</v>
      </c>
      <c r="C70" s="87" t="s">
        <v>1025</v>
      </c>
      <c r="D70" s="87" t="s">
        <v>794</v>
      </c>
      <c r="E70" s="89" t="s">
        <v>32</v>
      </c>
      <c r="F70" s="88" t="s">
        <v>1615</v>
      </c>
      <c r="G70" s="88" t="s">
        <v>760</v>
      </c>
      <c r="H70" s="88" t="s">
        <v>1819</v>
      </c>
      <c r="I70" s="88" t="s">
        <v>760</v>
      </c>
      <c r="J70" s="88" t="s">
        <v>1819</v>
      </c>
      <c r="K70" s="88" t="s">
        <v>760</v>
      </c>
      <c r="L70" s="91">
        <v>2563.5100000000002</v>
      </c>
      <c r="M70" s="88" t="s">
        <v>1809</v>
      </c>
      <c r="N70" s="91">
        <v>786478.78782149998</v>
      </c>
      <c r="O70" s="88" t="s">
        <v>1820</v>
      </c>
    </row>
    <row r="71" spans="1:15" ht="24" customHeight="1" x14ac:dyDescent="0.2">
      <c r="A71" s="88" t="s">
        <v>1821</v>
      </c>
      <c r="B71" s="87" t="s">
        <v>31</v>
      </c>
      <c r="C71" s="87" t="s">
        <v>1822</v>
      </c>
      <c r="D71" s="87" t="s">
        <v>784</v>
      </c>
      <c r="E71" s="89" t="s">
        <v>785</v>
      </c>
      <c r="F71" s="88" t="s">
        <v>1823</v>
      </c>
      <c r="G71" s="88" t="s">
        <v>760</v>
      </c>
      <c r="H71" s="88" t="s">
        <v>1824</v>
      </c>
      <c r="I71" s="88" t="s">
        <v>760</v>
      </c>
      <c r="J71" s="88" t="s">
        <v>1825</v>
      </c>
      <c r="K71" s="88" t="s">
        <v>760</v>
      </c>
      <c r="L71" s="91">
        <v>2439.794716758</v>
      </c>
      <c r="M71" s="88" t="s">
        <v>1826</v>
      </c>
      <c r="N71" s="91">
        <v>788918.58253829996</v>
      </c>
      <c r="O71" s="88" t="s">
        <v>1827</v>
      </c>
    </row>
    <row r="72" spans="1:15" ht="26.1" customHeight="1" x14ac:dyDescent="0.2">
      <c r="A72" s="88" t="s">
        <v>970</v>
      </c>
      <c r="B72" s="87" t="s">
        <v>15</v>
      </c>
      <c r="C72" s="87" t="s">
        <v>971</v>
      </c>
      <c r="D72" s="87" t="s">
        <v>794</v>
      </c>
      <c r="E72" s="89" t="s">
        <v>78</v>
      </c>
      <c r="F72" s="88" t="s">
        <v>1828</v>
      </c>
      <c r="G72" s="88" t="s">
        <v>760</v>
      </c>
      <c r="H72" s="88" t="s">
        <v>1829</v>
      </c>
      <c r="I72" s="88" t="s">
        <v>760</v>
      </c>
      <c r="J72" s="88" t="s">
        <v>1830</v>
      </c>
      <c r="K72" s="88" t="s">
        <v>760</v>
      </c>
      <c r="L72" s="91">
        <v>2410.8462</v>
      </c>
      <c r="M72" s="88" t="s">
        <v>1826</v>
      </c>
      <c r="N72" s="91">
        <v>791329.42873829999</v>
      </c>
      <c r="O72" s="88" t="s">
        <v>1831</v>
      </c>
    </row>
    <row r="73" spans="1:15" ht="39" customHeight="1" x14ac:dyDescent="0.2">
      <c r="A73" s="88" t="s">
        <v>1330</v>
      </c>
      <c r="B73" s="87" t="s">
        <v>15</v>
      </c>
      <c r="C73" s="87" t="s">
        <v>1331</v>
      </c>
      <c r="D73" s="87" t="s">
        <v>794</v>
      </c>
      <c r="E73" s="89" t="s">
        <v>720</v>
      </c>
      <c r="F73" s="88" t="s">
        <v>1832</v>
      </c>
      <c r="G73" s="88" t="s">
        <v>760</v>
      </c>
      <c r="H73" s="88" t="s">
        <v>1833</v>
      </c>
      <c r="I73" s="88" t="s">
        <v>760</v>
      </c>
      <c r="J73" s="88" t="s">
        <v>1834</v>
      </c>
      <c r="K73" s="88" t="s">
        <v>760</v>
      </c>
      <c r="L73" s="91">
        <v>2406.1118999999999</v>
      </c>
      <c r="M73" s="88" t="s">
        <v>1826</v>
      </c>
      <c r="N73" s="91">
        <v>793735.54063830001</v>
      </c>
      <c r="O73" s="88" t="s">
        <v>1835</v>
      </c>
    </row>
    <row r="74" spans="1:15" ht="24" customHeight="1" x14ac:dyDescent="0.2">
      <c r="A74" s="88" t="s">
        <v>1013</v>
      </c>
      <c r="B74" s="87" t="s">
        <v>15</v>
      </c>
      <c r="C74" s="87" t="s">
        <v>1014</v>
      </c>
      <c r="D74" s="87" t="s">
        <v>794</v>
      </c>
      <c r="E74" s="89" t="s">
        <v>32</v>
      </c>
      <c r="F74" s="88" t="s">
        <v>1836</v>
      </c>
      <c r="G74" s="88" t="s">
        <v>760</v>
      </c>
      <c r="H74" s="88" t="s">
        <v>1837</v>
      </c>
      <c r="I74" s="88" t="s">
        <v>760</v>
      </c>
      <c r="J74" s="88" t="s">
        <v>1838</v>
      </c>
      <c r="K74" s="88" t="s">
        <v>760</v>
      </c>
      <c r="L74" s="91">
        <v>2386.08</v>
      </c>
      <c r="M74" s="88" t="s">
        <v>1826</v>
      </c>
      <c r="N74" s="91">
        <v>796121.62063829997</v>
      </c>
      <c r="O74" s="88" t="s">
        <v>1839</v>
      </c>
    </row>
    <row r="75" spans="1:15" ht="26.1" customHeight="1" x14ac:dyDescent="0.2">
      <c r="A75" s="88" t="s">
        <v>927</v>
      </c>
      <c r="B75" s="87" t="s">
        <v>15</v>
      </c>
      <c r="C75" s="87" t="s">
        <v>928</v>
      </c>
      <c r="D75" s="87" t="s">
        <v>794</v>
      </c>
      <c r="E75" s="89" t="s">
        <v>5</v>
      </c>
      <c r="F75" s="88" t="s">
        <v>1840</v>
      </c>
      <c r="G75" s="88" t="s">
        <v>760</v>
      </c>
      <c r="H75" s="88" t="s">
        <v>1841</v>
      </c>
      <c r="I75" s="88" t="s">
        <v>760</v>
      </c>
      <c r="J75" s="88" t="s">
        <v>1842</v>
      </c>
      <c r="K75" s="88" t="s">
        <v>760</v>
      </c>
      <c r="L75" s="91">
        <v>2362.7040000000002</v>
      </c>
      <c r="M75" s="88" t="s">
        <v>1843</v>
      </c>
      <c r="N75" s="91">
        <v>798484.32463829999</v>
      </c>
      <c r="O75" s="88" t="s">
        <v>1844</v>
      </c>
    </row>
    <row r="76" spans="1:15" ht="26.1" customHeight="1" x14ac:dyDescent="0.2">
      <c r="A76" s="88" t="s">
        <v>854</v>
      </c>
      <c r="B76" s="87" t="s">
        <v>15</v>
      </c>
      <c r="C76" s="87" t="s">
        <v>855</v>
      </c>
      <c r="D76" s="87" t="s">
        <v>794</v>
      </c>
      <c r="E76" s="89" t="s">
        <v>785</v>
      </c>
      <c r="F76" s="88" t="s">
        <v>1845</v>
      </c>
      <c r="G76" s="88" t="s">
        <v>760</v>
      </c>
      <c r="H76" s="88" t="s">
        <v>1846</v>
      </c>
      <c r="I76" s="88" t="s">
        <v>760</v>
      </c>
      <c r="J76" s="88" t="s">
        <v>1847</v>
      </c>
      <c r="K76" s="88" t="s">
        <v>760</v>
      </c>
      <c r="L76" s="91">
        <v>2271.1760517600001</v>
      </c>
      <c r="M76" s="88" t="s">
        <v>1848</v>
      </c>
      <c r="N76" s="91">
        <v>800755.50069010002</v>
      </c>
      <c r="O76" s="88" t="s">
        <v>1849</v>
      </c>
    </row>
    <row r="77" spans="1:15" ht="39" customHeight="1" x14ac:dyDescent="0.2">
      <c r="A77" s="88" t="s">
        <v>905</v>
      </c>
      <c r="B77" s="87" t="s">
        <v>15</v>
      </c>
      <c r="C77" s="87" t="s">
        <v>906</v>
      </c>
      <c r="D77" s="87" t="s">
        <v>794</v>
      </c>
      <c r="E77" s="89" t="s">
        <v>50</v>
      </c>
      <c r="F77" s="88" t="s">
        <v>1850</v>
      </c>
      <c r="G77" s="88" t="s">
        <v>760</v>
      </c>
      <c r="H77" s="88" t="s">
        <v>1851</v>
      </c>
      <c r="I77" s="88" t="s">
        <v>760</v>
      </c>
      <c r="J77" s="88" t="s">
        <v>1852</v>
      </c>
      <c r="K77" s="88" t="s">
        <v>760</v>
      </c>
      <c r="L77" s="91">
        <v>2225.5789</v>
      </c>
      <c r="M77" s="88" t="s">
        <v>1848</v>
      </c>
      <c r="N77" s="91">
        <v>802981.07959009998</v>
      </c>
      <c r="O77" s="88" t="s">
        <v>1853</v>
      </c>
    </row>
    <row r="78" spans="1:15" ht="24" customHeight="1" x14ac:dyDescent="0.2">
      <c r="A78" s="88" t="s">
        <v>867</v>
      </c>
      <c r="B78" s="87" t="s">
        <v>15</v>
      </c>
      <c r="C78" s="87" t="s">
        <v>868</v>
      </c>
      <c r="D78" s="87" t="s">
        <v>784</v>
      </c>
      <c r="E78" s="89" t="s">
        <v>785</v>
      </c>
      <c r="F78" s="88" t="s">
        <v>1854</v>
      </c>
      <c r="G78" s="88" t="s">
        <v>760</v>
      </c>
      <c r="H78" s="88" t="s">
        <v>1542</v>
      </c>
      <c r="I78" s="88" t="s">
        <v>760</v>
      </c>
      <c r="J78" s="88" t="s">
        <v>1855</v>
      </c>
      <c r="K78" s="88" t="s">
        <v>760</v>
      </c>
      <c r="L78" s="91">
        <v>2102.8250880000001</v>
      </c>
      <c r="M78" s="88" t="s">
        <v>1856</v>
      </c>
      <c r="N78" s="91">
        <v>805083.90467810002</v>
      </c>
      <c r="O78" s="88" t="s">
        <v>1857</v>
      </c>
    </row>
    <row r="79" spans="1:15" ht="26.1" customHeight="1" x14ac:dyDescent="0.2">
      <c r="A79" s="88" t="s">
        <v>1384</v>
      </c>
      <c r="B79" s="87" t="s">
        <v>31</v>
      </c>
      <c r="C79" s="87" t="s">
        <v>1385</v>
      </c>
      <c r="D79" s="87" t="s">
        <v>794</v>
      </c>
      <c r="E79" s="89" t="s">
        <v>78</v>
      </c>
      <c r="F79" s="88" t="s">
        <v>1858</v>
      </c>
      <c r="G79" s="88" t="s">
        <v>760</v>
      </c>
      <c r="H79" s="88" t="s">
        <v>1859</v>
      </c>
      <c r="I79" s="88" t="s">
        <v>760</v>
      </c>
      <c r="J79" s="88" t="s">
        <v>1860</v>
      </c>
      <c r="K79" s="88" t="s">
        <v>760</v>
      </c>
      <c r="L79" s="91">
        <v>2092.3560000000002</v>
      </c>
      <c r="M79" s="88" t="s">
        <v>1856</v>
      </c>
      <c r="N79" s="91">
        <v>807176.26067810005</v>
      </c>
      <c r="O79" s="88" t="s">
        <v>1861</v>
      </c>
    </row>
    <row r="80" spans="1:15" ht="24" customHeight="1" x14ac:dyDescent="0.2">
      <c r="A80" s="88" t="s">
        <v>1313</v>
      </c>
      <c r="B80" s="87" t="s">
        <v>275</v>
      </c>
      <c r="C80" s="87" t="s">
        <v>1314</v>
      </c>
      <c r="D80" s="87" t="s">
        <v>794</v>
      </c>
      <c r="E80" s="89" t="s">
        <v>50</v>
      </c>
      <c r="F80" s="88" t="s">
        <v>1862</v>
      </c>
      <c r="G80" s="88" t="s">
        <v>760</v>
      </c>
      <c r="H80" s="88" t="s">
        <v>1581</v>
      </c>
      <c r="I80" s="88" t="s">
        <v>760</v>
      </c>
      <c r="J80" s="88" t="s">
        <v>1863</v>
      </c>
      <c r="K80" s="88" t="s">
        <v>760</v>
      </c>
      <c r="L80" s="91">
        <v>2041.4835</v>
      </c>
      <c r="M80" s="88" t="s">
        <v>1856</v>
      </c>
      <c r="N80" s="91">
        <v>809217.74417810002</v>
      </c>
      <c r="O80" s="88" t="s">
        <v>1864</v>
      </c>
    </row>
    <row r="81" spans="1:15" ht="24" customHeight="1" x14ac:dyDescent="0.2">
      <c r="A81" s="88" t="s">
        <v>909</v>
      </c>
      <c r="B81" s="87" t="s">
        <v>15</v>
      </c>
      <c r="C81" s="87" t="s">
        <v>910</v>
      </c>
      <c r="D81" s="87" t="s">
        <v>794</v>
      </c>
      <c r="E81" s="89" t="s">
        <v>134</v>
      </c>
      <c r="F81" s="88" t="s">
        <v>1865</v>
      </c>
      <c r="G81" s="88" t="s">
        <v>760</v>
      </c>
      <c r="H81" s="88" t="s">
        <v>1866</v>
      </c>
      <c r="I81" s="88" t="s">
        <v>760</v>
      </c>
      <c r="J81" s="88" t="s">
        <v>1867</v>
      </c>
      <c r="K81" s="88" t="s">
        <v>760</v>
      </c>
      <c r="L81" s="91">
        <v>1982.45082832</v>
      </c>
      <c r="M81" s="88" t="s">
        <v>1868</v>
      </c>
      <c r="N81" s="91">
        <v>811200.1950064</v>
      </c>
      <c r="O81" s="88" t="s">
        <v>1869</v>
      </c>
    </row>
    <row r="82" spans="1:15" ht="24" customHeight="1" x14ac:dyDescent="0.2">
      <c r="A82" s="88" t="s">
        <v>1290</v>
      </c>
      <c r="B82" s="87" t="s">
        <v>15</v>
      </c>
      <c r="C82" s="87" t="s">
        <v>1291</v>
      </c>
      <c r="D82" s="87" t="s">
        <v>794</v>
      </c>
      <c r="E82" s="89" t="s">
        <v>134</v>
      </c>
      <c r="F82" s="88" t="s">
        <v>1870</v>
      </c>
      <c r="G82" s="88" t="s">
        <v>760</v>
      </c>
      <c r="H82" s="88" t="s">
        <v>1871</v>
      </c>
      <c r="I82" s="88" t="s">
        <v>760</v>
      </c>
      <c r="J82" s="88" t="s">
        <v>1872</v>
      </c>
      <c r="K82" s="88" t="s">
        <v>760</v>
      </c>
      <c r="L82" s="91">
        <v>1971.6344999999999</v>
      </c>
      <c r="M82" s="88" t="s">
        <v>1868</v>
      </c>
      <c r="N82" s="91">
        <v>813171.82950640004</v>
      </c>
      <c r="O82" s="88" t="s">
        <v>1873</v>
      </c>
    </row>
    <row r="83" spans="1:15" ht="24" customHeight="1" x14ac:dyDescent="0.2">
      <c r="A83" s="88" t="s">
        <v>1272</v>
      </c>
      <c r="B83" s="87" t="s">
        <v>15</v>
      </c>
      <c r="C83" s="87" t="s">
        <v>1273</v>
      </c>
      <c r="D83" s="87" t="s">
        <v>794</v>
      </c>
      <c r="E83" s="89" t="s">
        <v>78</v>
      </c>
      <c r="F83" s="88" t="s">
        <v>1874</v>
      </c>
      <c r="G83" s="88" t="s">
        <v>760</v>
      </c>
      <c r="H83" s="88" t="s">
        <v>1875</v>
      </c>
      <c r="I83" s="88" t="s">
        <v>760</v>
      </c>
      <c r="J83" s="88" t="s">
        <v>1876</v>
      </c>
      <c r="K83" s="88" t="s">
        <v>760</v>
      </c>
      <c r="L83" s="91">
        <v>1912.806</v>
      </c>
      <c r="M83" s="88" t="s">
        <v>1877</v>
      </c>
      <c r="N83" s="91">
        <v>815084.63550640002</v>
      </c>
      <c r="O83" s="88" t="s">
        <v>1878</v>
      </c>
    </row>
    <row r="84" spans="1:15" ht="24" customHeight="1" x14ac:dyDescent="0.2">
      <c r="A84" s="88" t="s">
        <v>1879</v>
      </c>
      <c r="B84" s="87" t="s">
        <v>31</v>
      </c>
      <c r="C84" s="87" t="s">
        <v>1880</v>
      </c>
      <c r="D84" s="87" t="s">
        <v>1881</v>
      </c>
      <c r="E84" s="89" t="s">
        <v>785</v>
      </c>
      <c r="F84" s="88" t="s">
        <v>1882</v>
      </c>
      <c r="G84" s="88" t="s">
        <v>760</v>
      </c>
      <c r="H84" s="88" t="s">
        <v>1883</v>
      </c>
      <c r="I84" s="88" t="s">
        <v>760</v>
      </c>
      <c r="J84" s="88" t="s">
        <v>1884</v>
      </c>
      <c r="K84" s="88" t="s">
        <v>760</v>
      </c>
      <c r="L84" s="91">
        <v>1872.6706990590001</v>
      </c>
      <c r="M84" s="88" t="s">
        <v>1877</v>
      </c>
      <c r="N84" s="91">
        <v>816957.30620550003</v>
      </c>
      <c r="O84" s="88" t="s">
        <v>1885</v>
      </c>
    </row>
    <row r="85" spans="1:15" ht="26.1" customHeight="1" x14ac:dyDescent="0.2">
      <c r="A85" s="88" t="s">
        <v>1236</v>
      </c>
      <c r="B85" s="87" t="s">
        <v>240</v>
      </c>
      <c r="C85" s="87" t="s">
        <v>1237</v>
      </c>
      <c r="D85" s="87" t="s">
        <v>794</v>
      </c>
      <c r="E85" s="89" t="s">
        <v>32</v>
      </c>
      <c r="F85" s="88" t="s">
        <v>1886</v>
      </c>
      <c r="G85" s="88" t="s">
        <v>760</v>
      </c>
      <c r="H85" s="88" t="s">
        <v>1887</v>
      </c>
      <c r="I85" s="88" t="s">
        <v>760</v>
      </c>
      <c r="J85" s="88" t="s">
        <v>1888</v>
      </c>
      <c r="K85" s="88" t="s">
        <v>760</v>
      </c>
      <c r="L85" s="91">
        <v>1848.51</v>
      </c>
      <c r="M85" s="88" t="s">
        <v>1877</v>
      </c>
      <c r="N85" s="91">
        <v>818805.81620550004</v>
      </c>
      <c r="O85" s="88" t="s">
        <v>1889</v>
      </c>
    </row>
    <row r="86" spans="1:15" ht="51.95" customHeight="1" x14ac:dyDescent="0.2">
      <c r="A86" s="88" t="s">
        <v>1205</v>
      </c>
      <c r="B86" s="87" t="s">
        <v>15</v>
      </c>
      <c r="C86" s="87" t="s">
        <v>1206</v>
      </c>
      <c r="D86" s="87" t="s">
        <v>794</v>
      </c>
      <c r="E86" s="89" t="s">
        <v>78</v>
      </c>
      <c r="F86" s="88" t="s">
        <v>1890</v>
      </c>
      <c r="G86" s="88" t="s">
        <v>760</v>
      </c>
      <c r="H86" s="88" t="s">
        <v>1891</v>
      </c>
      <c r="I86" s="88" t="s">
        <v>760</v>
      </c>
      <c r="J86" s="88" t="s">
        <v>1892</v>
      </c>
      <c r="K86" s="88" t="s">
        <v>760</v>
      </c>
      <c r="L86" s="91">
        <v>1767.15</v>
      </c>
      <c r="M86" s="88" t="s">
        <v>1893</v>
      </c>
      <c r="N86" s="91">
        <v>820572.96620549995</v>
      </c>
      <c r="O86" s="88" t="s">
        <v>1894</v>
      </c>
    </row>
    <row r="87" spans="1:15" ht="26.1" customHeight="1" x14ac:dyDescent="0.2">
      <c r="A87" s="88" t="s">
        <v>1375</v>
      </c>
      <c r="B87" s="87" t="s">
        <v>31</v>
      </c>
      <c r="C87" s="87" t="s">
        <v>1376</v>
      </c>
      <c r="D87" s="87" t="s">
        <v>794</v>
      </c>
      <c r="E87" s="89" t="s">
        <v>134</v>
      </c>
      <c r="F87" s="88" t="s">
        <v>1895</v>
      </c>
      <c r="G87" s="88" t="s">
        <v>760</v>
      </c>
      <c r="H87" s="88" t="s">
        <v>1896</v>
      </c>
      <c r="I87" s="88" t="s">
        <v>760</v>
      </c>
      <c r="J87" s="88" t="s">
        <v>1897</v>
      </c>
      <c r="K87" s="88" t="s">
        <v>760</v>
      </c>
      <c r="L87" s="91">
        <v>1664.64</v>
      </c>
      <c r="M87" s="88" t="s">
        <v>1898</v>
      </c>
      <c r="N87" s="91">
        <v>822237.60620549996</v>
      </c>
      <c r="O87" s="88" t="s">
        <v>1899</v>
      </c>
    </row>
    <row r="88" spans="1:15" ht="26.1" customHeight="1" x14ac:dyDescent="0.2">
      <c r="A88" s="88" t="s">
        <v>1152</v>
      </c>
      <c r="B88" s="87" t="s">
        <v>15</v>
      </c>
      <c r="C88" s="87" t="s">
        <v>321</v>
      </c>
      <c r="D88" s="87" t="s">
        <v>794</v>
      </c>
      <c r="E88" s="89" t="s">
        <v>78</v>
      </c>
      <c r="F88" s="88" t="s">
        <v>1900</v>
      </c>
      <c r="G88" s="88" t="s">
        <v>760</v>
      </c>
      <c r="H88" s="88" t="s">
        <v>1901</v>
      </c>
      <c r="I88" s="88" t="s">
        <v>760</v>
      </c>
      <c r="J88" s="88" t="s">
        <v>1902</v>
      </c>
      <c r="K88" s="88" t="s">
        <v>760</v>
      </c>
      <c r="L88" s="91">
        <v>1519.29</v>
      </c>
      <c r="M88" s="88" t="s">
        <v>1903</v>
      </c>
      <c r="N88" s="91">
        <v>823756.8962055</v>
      </c>
      <c r="O88" s="88" t="s">
        <v>1904</v>
      </c>
    </row>
    <row r="89" spans="1:15" ht="24" customHeight="1" x14ac:dyDescent="0.2">
      <c r="A89" s="88" t="s">
        <v>1905</v>
      </c>
      <c r="B89" s="87" t="s">
        <v>31</v>
      </c>
      <c r="C89" s="87" t="s">
        <v>1027</v>
      </c>
      <c r="D89" s="87" t="s">
        <v>784</v>
      </c>
      <c r="E89" s="89" t="s">
        <v>785</v>
      </c>
      <c r="F89" s="88" t="s">
        <v>1906</v>
      </c>
      <c r="G89" s="88" t="s">
        <v>760</v>
      </c>
      <c r="H89" s="88" t="s">
        <v>1907</v>
      </c>
      <c r="I89" s="88" t="s">
        <v>760</v>
      </c>
      <c r="J89" s="88" t="s">
        <v>1908</v>
      </c>
      <c r="K89" s="88" t="s">
        <v>760</v>
      </c>
      <c r="L89" s="91">
        <v>1483.720652904</v>
      </c>
      <c r="M89" s="88" t="s">
        <v>1903</v>
      </c>
      <c r="N89" s="91">
        <v>825240.61685840006</v>
      </c>
      <c r="O89" s="88" t="s">
        <v>1909</v>
      </c>
    </row>
    <row r="90" spans="1:15" ht="24" customHeight="1" x14ac:dyDescent="0.2">
      <c r="A90" s="88" t="s">
        <v>1322</v>
      </c>
      <c r="B90" s="87" t="s">
        <v>275</v>
      </c>
      <c r="C90" s="87" t="s">
        <v>1323</v>
      </c>
      <c r="D90" s="87" t="s">
        <v>784</v>
      </c>
      <c r="E90" s="89" t="s">
        <v>785</v>
      </c>
      <c r="F90" s="88" t="s">
        <v>1910</v>
      </c>
      <c r="G90" s="88" t="s">
        <v>760</v>
      </c>
      <c r="H90" s="88" t="s">
        <v>1911</v>
      </c>
      <c r="I90" s="88" t="s">
        <v>760</v>
      </c>
      <c r="J90" s="88" t="s">
        <v>1912</v>
      </c>
      <c r="K90" s="88" t="s">
        <v>760</v>
      </c>
      <c r="L90" s="91">
        <v>1414.0413000000001</v>
      </c>
      <c r="M90" s="88" t="s">
        <v>1913</v>
      </c>
      <c r="N90" s="91">
        <v>826654.65815839998</v>
      </c>
      <c r="O90" s="88" t="s">
        <v>1914</v>
      </c>
    </row>
    <row r="91" spans="1:15" ht="39" customHeight="1" x14ac:dyDescent="0.2">
      <c r="A91" s="88" t="s">
        <v>856</v>
      </c>
      <c r="B91" s="87" t="s">
        <v>15</v>
      </c>
      <c r="C91" s="87" t="s">
        <v>857</v>
      </c>
      <c r="D91" s="87" t="s">
        <v>794</v>
      </c>
      <c r="E91" s="89" t="s">
        <v>785</v>
      </c>
      <c r="F91" s="88" t="s">
        <v>1915</v>
      </c>
      <c r="G91" s="88" t="s">
        <v>760</v>
      </c>
      <c r="H91" s="88" t="s">
        <v>1916</v>
      </c>
      <c r="I91" s="88" t="s">
        <v>760</v>
      </c>
      <c r="J91" s="88" t="s">
        <v>1917</v>
      </c>
      <c r="K91" s="88" t="s">
        <v>760</v>
      </c>
      <c r="L91" s="91">
        <v>1405.9794944</v>
      </c>
      <c r="M91" s="88" t="s">
        <v>1913</v>
      </c>
      <c r="N91" s="91">
        <v>828060.63765279995</v>
      </c>
      <c r="O91" s="88" t="s">
        <v>1918</v>
      </c>
    </row>
    <row r="92" spans="1:15" ht="26.1" customHeight="1" x14ac:dyDescent="0.2">
      <c r="A92" s="88" t="s">
        <v>1153</v>
      </c>
      <c r="B92" s="87" t="s">
        <v>15</v>
      </c>
      <c r="C92" s="87" t="s">
        <v>324</v>
      </c>
      <c r="D92" s="87" t="s">
        <v>794</v>
      </c>
      <c r="E92" s="89" t="s">
        <v>78</v>
      </c>
      <c r="F92" s="88" t="s">
        <v>1919</v>
      </c>
      <c r="G92" s="88" t="s">
        <v>760</v>
      </c>
      <c r="H92" s="88" t="s">
        <v>1920</v>
      </c>
      <c r="I92" s="88" t="s">
        <v>760</v>
      </c>
      <c r="J92" s="88" t="s">
        <v>1921</v>
      </c>
      <c r="K92" s="88" t="s">
        <v>760</v>
      </c>
      <c r="L92" s="91">
        <v>1380.825</v>
      </c>
      <c r="M92" s="88" t="s">
        <v>1922</v>
      </c>
      <c r="N92" s="91">
        <v>829441.46265280002</v>
      </c>
      <c r="O92" s="88" t="s">
        <v>1923</v>
      </c>
    </row>
    <row r="93" spans="1:15" ht="51.95" customHeight="1" x14ac:dyDescent="0.2">
      <c r="A93" s="88" t="s">
        <v>1274</v>
      </c>
      <c r="B93" s="87" t="s">
        <v>15</v>
      </c>
      <c r="C93" s="87" t="s">
        <v>1275</v>
      </c>
      <c r="D93" s="87" t="s">
        <v>794</v>
      </c>
      <c r="E93" s="89" t="s">
        <v>32</v>
      </c>
      <c r="F93" s="88" t="s">
        <v>1924</v>
      </c>
      <c r="G93" s="88" t="s">
        <v>760</v>
      </c>
      <c r="H93" s="88" t="s">
        <v>1925</v>
      </c>
      <c r="I93" s="88" t="s">
        <v>760</v>
      </c>
      <c r="J93" s="88" t="s">
        <v>1926</v>
      </c>
      <c r="K93" s="88" t="s">
        <v>760</v>
      </c>
      <c r="L93" s="91">
        <v>1375.74</v>
      </c>
      <c r="M93" s="88" t="s">
        <v>1922</v>
      </c>
      <c r="N93" s="91">
        <v>830817.20265280001</v>
      </c>
      <c r="O93" s="88" t="s">
        <v>1927</v>
      </c>
    </row>
    <row r="94" spans="1:15" ht="51.95" customHeight="1" x14ac:dyDescent="0.2">
      <c r="A94" s="88" t="s">
        <v>1284</v>
      </c>
      <c r="B94" s="87" t="s">
        <v>15</v>
      </c>
      <c r="C94" s="87" t="s">
        <v>1285</v>
      </c>
      <c r="D94" s="87" t="s">
        <v>794</v>
      </c>
      <c r="E94" s="89" t="s">
        <v>78</v>
      </c>
      <c r="F94" s="88" t="s">
        <v>1928</v>
      </c>
      <c r="G94" s="88" t="s">
        <v>760</v>
      </c>
      <c r="H94" s="88" t="s">
        <v>1929</v>
      </c>
      <c r="I94" s="88" t="s">
        <v>760</v>
      </c>
      <c r="J94" s="88" t="s">
        <v>1930</v>
      </c>
      <c r="K94" s="88" t="s">
        <v>760</v>
      </c>
      <c r="L94" s="91">
        <v>1352.3516999999999</v>
      </c>
      <c r="M94" s="88" t="s">
        <v>1922</v>
      </c>
      <c r="N94" s="91">
        <v>832169.55435280001</v>
      </c>
      <c r="O94" s="88" t="s">
        <v>1931</v>
      </c>
    </row>
    <row r="95" spans="1:15" ht="39" customHeight="1" x14ac:dyDescent="0.2">
      <c r="A95" s="88" t="s">
        <v>862</v>
      </c>
      <c r="B95" s="87" t="s">
        <v>15</v>
      </c>
      <c r="C95" s="87" t="s">
        <v>863</v>
      </c>
      <c r="D95" s="87" t="s">
        <v>794</v>
      </c>
      <c r="E95" s="89" t="s">
        <v>785</v>
      </c>
      <c r="F95" s="88" t="s">
        <v>1932</v>
      </c>
      <c r="G95" s="88" t="s">
        <v>760</v>
      </c>
      <c r="H95" s="88" t="s">
        <v>1933</v>
      </c>
      <c r="I95" s="88" t="s">
        <v>760</v>
      </c>
      <c r="J95" s="88" t="s">
        <v>1934</v>
      </c>
      <c r="K95" s="88" t="s">
        <v>760</v>
      </c>
      <c r="L95" s="91">
        <v>1340.7501090000001</v>
      </c>
      <c r="M95" s="88" t="s">
        <v>1922</v>
      </c>
      <c r="N95" s="91">
        <v>833510.30446180003</v>
      </c>
      <c r="O95" s="88" t="s">
        <v>1935</v>
      </c>
    </row>
    <row r="96" spans="1:15" ht="24" customHeight="1" x14ac:dyDescent="0.2">
      <c r="A96" s="88" t="s">
        <v>893</v>
      </c>
      <c r="B96" s="87" t="s">
        <v>15</v>
      </c>
      <c r="C96" s="87" t="s">
        <v>894</v>
      </c>
      <c r="D96" s="87" t="s">
        <v>794</v>
      </c>
      <c r="E96" s="89" t="s">
        <v>78</v>
      </c>
      <c r="F96" s="88" t="s">
        <v>1936</v>
      </c>
      <c r="G96" s="88" t="s">
        <v>760</v>
      </c>
      <c r="H96" s="88" t="s">
        <v>1937</v>
      </c>
      <c r="I96" s="88" t="s">
        <v>760</v>
      </c>
      <c r="J96" s="88" t="s">
        <v>1938</v>
      </c>
      <c r="K96" s="88" t="s">
        <v>760</v>
      </c>
      <c r="L96" s="91">
        <v>1308.3001138</v>
      </c>
      <c r="M96" s="88" t="s">
        <v>1922</v>
      </c>
      <c r="N96" s="91">
        <v>834818.60457560001</v>
      </c>
      <c r="O96" s="88" t="s">
        <v>1939</v>
      </c>
    </row>
    <row r="97" spans="1:15" ht="39" customHeight="1" x14ac:dyDescent="0.2">
      <c r="A97" s="88" t="s">
        <v>919</v>
      </c>
      <c r="B97" s="87" t="s">
        <v>15</v>
      </c>
      <c r="C97" s="87" t="s">
        <v>920</v>
      </c>
      <c r="D97" s="87" t="s">
        <v>794</v>
      </c>
      <c r="E97" s="89" t="s">
        <v>785</v>
      </c>
      <c r="F97" s="88" t="s">
        <v>1940</v>
      </c>
      <c r="G97" s="88" t="s">
        <v>760</v>
      </c>
      <c r="H97" s="88" t="s">
        <v>1941</v>
      </c>
      <c r="I97" s="88" t="s">
        <v>760</v>
      </c>
      <c r="J97" s="88" t="s">
        <v>1942</v>
      </c>
      <c r="K97" s="88" t="s">
        <v>760</v>
      </c>
      <c r="L97" s="91">
        <v>1299.6383149999999</v>
      </c>
      <c r="M97" s="88" t="s">
        <v>1943</v>
      </c>
      <c r="N97" s="91">
        <v>836118.2428906</v>
      </c>
      <c r="O97" s="88" t="s">
        <v>1944</v>
      </c>
    </row>
    <row r="98" spans="1:15" ht="24" customHeight="1" x14ac:dyDescent="0.2">
      <c r="A98" s="88" t="s">
        <v>954</v>
      </c>
      <c r="B98" s="87" t="s">
        <v>15</v>
      </c>
      <c r="C98" s="87" t="s">
        <v>955</v>
      </c>
      <c r="D98" s="87" t="s">
        <v>794</v>
      </c>
      <c r="E98" s="89" t="s">
        <v>32</v>
      </c>
      <c r="F98" s="88" t="s">
        <v>1945</v>
      </c>
      <c r="G98" s="88" t="s">
        <v>760</v>
      </c>
      <c r="H98" s="88" t="s">
        <v>1946</v>
      </c>
      <c r="I98" s="88" t="s">
        <v>760</v>
      </c>
      <c r="J98" s="88" t="s">
        <v>1947</v>
      </c>
      <c r="K98" s="88" t="s">
        <v>760</v>
      </c>
      <c r="L98" s="91">
        <v>1292.3217</v>
      </c>
      <c r="M98" s="88" t="s">
        <v>1943</v>
      </c>
      <c r="N98" s="91">
        <v>837410.56459059997</v>
      </c>
      <c r="O98" s="88" t="s">
        <v>1948</v>
      </c>
    </row>
    <row r="99" spans="1:15" ht="24" customHeight="1" x14ac:dyDescent="0.2">
      <c r="A99" s="88" t="s">
        <v>1393</v>
      </c>
      <c r="B99" s="87" t="s">
        <v>1394</v>
      </c>
      <c r="C99" s="87" t="s">
        <v>1395</v>
      </c>
      <c r="D99" s="87" t="s">
        <v>794</v>
      </c>
      <c r="E99" s="89" t="s">
        <v>1433</v>
      </c>
      <c r="F99" s="88" t="s">
        <v>1949</v>
      </c>
      <c r="G99" s="88" t="s">
        <v>760</v>
      </c>
      <c r="H99" s="88" t="s">
        <v>1950</v>
      </c>
      <c r="I99" s="88" t="s">
        <v>760</v>
      </c>
      <c r="J99" s="88" t="s">
        <v>1951</v>
      </c>
      <c r="K99" s="88" t="s">
        <v>760</v>
      </c>
      <c r="L99" s="91">
        <v>1288.6355000000001</v>
      </c>
      <c r="M99" s="88" t="s">
        <v>1943</v>
      </c>
      <c r="N99" s="91">
        <v>838699.20009059994</v>
      </c>
      <c r="O99" s="88" t="s">
        <v>1952</v>
      </c>
    </row>
    <row r="100" spans="1:15" ht="26.1" customHeight="1" x14ac:dyDescent="0.2">
      <c r="A100" s="88" t="s">
        <v>858</v>
      </c>
      <c r="B100" s="87" t="s">
        <v>15</v>
      </c>
      <c r="C100" s="87" t="s">
        <v>859</v>
      </c>
      <c r="D100" s="87" t="s">
        <v>794</v>
      </c>
      <c r="E100" s="89" t="s">
        <v>785</v>
      </c>
      <c r="F100" s="88" t="s">
        <v>1953</v>
      </c>
      <c r="G100" s="88" t="s">
        <v>760</v>
      </c>
      <c r="H100" s="88" t="s">
        <v>1954</v>
      </c>
      <c r="I100" s="88" t="s">
        <v>760</v>
      </c>
      <c r="J100" s="88" t="s">
        <v>1955</v>
      </c>
      <c r="K100" s="88" t="s">
        <v>760</v>
      </c>
      <c r="L100" s="91">
        <v>1274.00618992</v>
      </c>
      <c r="M100" s="88" t="s">
        <v>1943</v>
      </c>
      <c r="N100" s="91">
        <v>839973.20628050005</v>
      </c>
      <c r="O100" s="88" t="s">
        <v>1956</v>
      </c>
    </row>
    <row r="101" spans="1:15" ht="65.099999999999994" customHeight="1" x14ac:dyDescent="0.2">
      <c r="A101" s="88" t="s">
        <v>1336</v>
      </c>
      <c r="B101" s="87" t="s">
        <v>15</v>
      </c>
      <c r="C101" s="87" t="s">
        <v>1337</v>
      </c>
      <c r="D101" s="87" t="s">
        <v>794</v>
      </c>
      <c r="E101" s="89" t="s">
        <v>720</v>
      </c>
      <c r="F101" s="88" t="s">
        <v>1957</v>
      </c>
      <c r="G101" s="88" t="s">
        <v>760</v>
      </c>
      <c r="H101" s="88" t="s">
        <v>1958</v>
      </c>
      <c r="I101" s="88" t="s">
        <v>760</v>
      </c>
      <c r="J101" s="88" t="s">
        <v>1959</v>
      </c>
      <c r="K101" s="88" t="s">
        <v>760</v>
      </c>
      <c r="L101" s="91">
        <v>1231.9523999999999</v>
      </c>
      <c r="M101" s="88" t="s">
        <v>1943</v>
      </c>
      <c r="N101" s="91">
        <v>841205.1586805</v>
      </c>
      <c r="O101" s="88" t="s">
        <v>1960</v>
      </c>
    </row>
    <row r="102" spans="1:15" ht="39" customHeight="1" x14ac:dyDescent="0.2">
      <c r="A102" s="88" t="s">
        <v>1246</v>
      </c>
      <c r="B102" s="87" t="s">
        <v>15</v>
      </c>
      <c r="C102" s="87" t="s">
        <v>1247</v>
      </c>
      <c r="D102" s="87" t="s">
        <v>794</v>
      </c>
      <c r="E102" s="89" t="s">
        <v>32</v>
      </c>
      <c r="F102" s="88" t="s">
        <v>1836</v>
      </c>
      <c r="G102" s="88" t="s">
        <v>760</v>
      </c>
      <c r="H102" s="88" t="s">
        <v>1961</v>
      </c>
      <c r="I102" s="88" t="s">
        <v>760</v>
      </c>
      <c r="J102" s="88" t="s">
        <v>1962</v>
      </c>
      <c r="K102" s="88" t="s">
        <v>760</v>
      </c>
      <c r="L102" s="91">
        <v>1175.94</v>
      </c>
      <c r="M102" s="88" t="s">
        <v>1963</v>
      </c>
      <c r="N102" s="91">
        <v>842381.09868050006</v>
      </c>
      <c r="O102" s="88" t="s">
        <v>1964</v>
      </c>
    </row>
    <row r="103" spans="1:15" ht="24" customHeight="1" x14ac:dyDescent="0.2">
      <c r="A103" s="88" t="s">
        <v>968</v>
      </c>
      <c r="B103" s="87" t="s">
        <v>15</v>
      </c>
      <c r="C103" s="87" t="s">
        <v>969</v>
      </c>
      <c r="D103" s="87" t="s">
        <v>794</v>
      </c>
      <c r="E103" s="89" t="s">
        <v>134</v>
      </c>
      <c r="F103" s="88" t="s">
        <v>1965</v>
      </c>
      <c r="G103" s="88" t="s">
        <v>760</v>
      </c>
      <c r="H103" s="88" t="s">
        <v>1966</v>
      </c>
      <c r="I103" s="88" t="s">
        <v>760</v>
      </c>
      <c r="J103" s="88" t="s">
        <v>1967</v>
      </c>
      <c r="K103" s="88" t="s">
        <v>760</v>
      </c>
      <c r="L103" s="91">
        <v>1170.22136</v>
      </c>
      <c r="M103" s="88" t="s">
        <v>1963</v>
      </c>
      <c r="N103" s="91">
        <v>843551.32004050002</v>
      </c>
      <c r="O103" s="88" t="s">
        <v>1968</v>
      </c>
    </row>
    <row r="104" spans="1:15" ht="26.1" customHeight="1" x14ac:dyDescent="0.2">
      <c r="A104" s="88" t="s">
        <v>1103</v>
      </c>
      <c r="B104" s="87" t="s">
        <v>15</v>
      </c>
      <c r="C104" s="87" t="s">
        <v>1104</v>
      </c>
      <c r="D104" s="87" t="s">
        <v>794</v>
      </c>
      <c r="E104" s="89" t="s">
        <v>281</v>
      </c>
      <c r="F104" s="88" t="s">
        <v>1615</v>
      </c>
      <c r="G104" s="88" t="s">
        <v>760</v>
      </c>
      <c r="H104" s="88" t="s">
        <v>1969</v>
      </c>
      <c r="I104" s="88" t="s">
        <v>760</v>
      </c>
      <c r="J104" s="88" t="s">
        <v>1969</v>
      </c>
      <c r="K104" s="88" t="s">
        <v>760</v>
      </c>
      <c r="L104" s="91">
        <v>1138.22</v>
      </c>
      <c r="M104" s="88" t="s">
        <v>1963</v>
      </c>
      <c r="N104" s="91">
        <v>844689.5400405</v>
      </c>
      <c r="O104" s="88" t="s">
        <v>1970</v>
      </c>
    </row>
    <row r="105" spans="1:15" ht="24" customHeight="1" x14ac:dyDescent="0.2">
      <c r="A105" s="88" t="s">
        <v>1040</v>
      </c>
      <c r="B105" s="87" t="s">
        <v>15</v>
      </c>
      <c r="C105" s="87" t="s">
        <v>1041</v>
      </c>
      <c r="D105" s="87" t="s">
        <v>794</v>
      </c>
      <c r="E105" s="89" t="s">
        <v>78</v>
      </c>
      <c r="F105" s="88" t="s">
        <v>1971</v>
      </c>
      <c r="G105" s="88" t="s">
        <v>760</v>
      </c>
      <c r="H105" s="88" t="s">
        <v>1972</v>
      </c>
      <c r="I105" s="88" t="s">
        <v>760</v>
      </c>
      <c r="J105" s="88" t="s">
        <v>1973</v>
      </c>
      <c r="K105" s="88" t="s">
        <v>760</v>
      </c>
      <c r="L105" s="91">
        <v>1137.825</v>
      </c>
      <c r="M105" s="88" t="s">
        <v>1963</v>
      </c>
      <c r="N105" s="91">
        <v>845827.36504049995</v>
      </c>
      <c r="O105" s="88" t="s">
        <v>1974</v>
      </c>
    </row>
    <row r="106" spans="1:15" ht="24" customHeight="1" x14ac:dyDescent="0.2">
      <c r="A106" s="88" t="s">
        <v>1232</v>
      </c>
      <c r="B106" s="87" t="s">
        <v>240</v>
      </c>
      <c r="C106" s="87" t="s">
        <v>1233</v>
      </c>
      <c r="D106" s="87" t="s">
        <v>784</v>
      </c>
      <c r="E106" s="89" t="s">
        <v>785</v>
      </c>
      <c r="F106" s="88" t="s">
        <v>1975</v>
      </c>
      <c r="G106" s="88" t="s">
        <v>760</v>
      </c>
      <c r="H106" s="88" t="s">
        <v>1976</v>
      </c>
      <c r="I106" s="88" t="s">
        <v>760</v>
      </c>
      <c r="J106" s="88" t="s">
        <v>1977</v>
      </c>
      <c r="K106" s="88" t="s">
        <v>760</v>
      </c>
      <c r="L106" s="91">
        <v>1122.8218999999999</v>
      </c>
      <c r="M106" s="88" t="s">
        <v>1963</v>
      </c>
      <c r="N106" s="91">
        <v>846950.18694050005</v>
      </c>
      <c r="O106" s="88" t="s">
        <v>1978</v>
      </c>
    </row>
    <row r="107" spans="1:15" ht="51.95" customHeight="1" x14ac:dyDescent="0.2">
      <c r="A107" s="88" t="s">
        <v>901</v>
      </c>
      <c r="B107" s="87" t="s">
        <v>15</v>
      </c>
      <c r="C107" s="87" t="s">
        <v>902</v>
      </c>
      <c r="D107" s="87" t="s">
        <v>794</v>
      </c>
      <c r="E107" s="89" t="s">
        <v>5</v>
      </c>
      <c r="F107" s="88" t="s">
        <v>1979</v>
      </c>
      <c r="G107" s="88" t="s">
        <v>760</v>
      </c>
      <c r="H107" s="88" t="s">
        <v>1980</v>
      </c>
      <c r="I107" s="88" t="s">
        <v>760</v>
      </c>
      <c r="J107" s="88" t="s">
        <v>1981</v>
      </c>
      <c r="K107" s="88" t="s">
        <v>760</v>
      </c>
      <c r="L107" s="91">
        <v>1111.8925650000001</v>
      </c>
      <c r="M107" s="88" t="s">
        <v>1982</v>
      </c>
      <c r="N107" s="91">
        <v>848062.07950550003</v>
      </c>
      <c r="O107" s="88" t="s">
        <v>1983</v>
      </c>
    </row>
    <row r="108" spans="1:15" ht="24" customHeight="1" x14ac:dyDescent="0.2">
      <c r="A108" s="88" t="s">
        <v>1354</v>
      </c>
      <c r="B108" s="87" t="s">
        <v>240</v>
      </c>
      <c r="C108" s="87" t="s">
        <v>1355</v>
      </c>
      <c r="D108" s="87" t="s">
        <v>794</v>
      </c>
      <c r="E108" s="89" t="s">
        <v>32</v>
      </c>
      <c r="F108" s="88" t="s">
        <v>1984</v>
      </c>
      <c r="G108" s="88" t="s">
        <v>760</v>
      </c>
      <c r="H108" s="88" t="s">
        <v>1985</v>
      </c>
      <c r="I108" s="88" t="s">
        <v>760</v>
      </c>
      <c r="J108" s="88" t="s">
        <v>1986</v>
      </c>
      <c r="K108" s="88" t="s">
        <v>760</v>
      </c>
      <c r="L108" s="91">
        <v>1107.8399999999999</v>
      </c>
      <c r="M108" s="88" t="s">
        <v>1982</v>
      </c>
      <c r="N108" s="91">
        <v>849169.9195055</v>
      </c>
      <c r="O108" s="88" t="s">
        <v>1987</v>
      </c>
    </row>
    <row r="109" spans="1:15" ht="39" customHeight="1" x14ac:dyDescent="0.2">
      <c r="A109" s="88" t="s">
        <v>1105</v>
      </c>
      <c r="B109" s="87" t="s">
        <v>15</v>
      </c>
      <c r="C109" s="87" t="s">
        <v>1106</v>
      </c>
      <c r="D109" s="87" t="s">
        <v>794</v>
      </c>
      <c r="E109" s="89" t="s">
        <v>32</v>
      </c>
      <c r="F109" s="88" t="s">
        <v>1615</v>
      </c>
      <c r="G109" s="88" t="s">
        <v>760</v>
      </c>
      <c r="H109" s="88" t="s">
        <v>1988</v>
      </c>
      <c r="I109" s="88" t="s">
        <v>760</v>
      </c>
      <c r="J109" s="88" t="s">
        <v>1988</v>
      </c>
      <c r="K109" s="88" t="s">
        <v>760</v>
      </c>
      <c r="L109" s="91">
        <v>1087.1199999999999</v>
      </c>
      <c r="M109" s="88" t="s">
        <v>1982</v>
      </c>
      <c r="N109" s="91">
        <v>850257.0395055</v>
      </c>
      <c r="O109" s="88" t="s">
        <v>1989</v>
      </c>
    </row>
    <row r="110" spans="1:15" ht="51.95" customHeight="1" x14ac:dyDescent="0.2">
      <c r="A110" s="88" t="s">
        <v>1334</v>
      </c>
      <c r="B110" s="87" t="s">
        <v>15</v>
      </c>
      <c r="C110" s="87" t="s">
        <v>1335</v>
      </c>
      <c r="D110" s="87" t="s">
        <v>794</v>
      </c>
      <c r="E110" s="89" t="s">
        <v>720</v>
      </c>
      <c r="F110" s="88" t="s">
        <v>1990</v>
      </c>
      <c r="G110" s="88" t="s">
        <v>760</v>
      </c>
      <c r="H110" s="88" t="s">
        <v>1991</v>
      </c>
      <c r="I110" s="88" t="s">
        <v>760</v>
      </c>
      <c r="J110" s="88" t="s">
        <v>1992</v>
      </c>
      <c r="K110" s="88" t="s">
        <v>760</v>
      </c>
      <c r="L110" s="91">
        <v>1037.4336000000001</v>
      </c>
      <c r="M110" s="88" t="s">
        <v>1982</v>
      </c>
      <c r="N110" s="91">
        <v>851294.47310549999</v>
      </c>
      <c r="O110" s="88" t="s">
        <v>1993</v>
      </c>
    </row>
    <row r="111" spans="1:15" ht="26.1" customHeight="1" x14ac:dyDescent="0.2">
      <c r="A111" s="20" t="s">
        <v>1328</v>
      </c>
      <c r="B111" s="19" t="s">
        <v>15</v>
      </c>
      <c r="C111" s="19" t="s">
        <v>1329</v>
      </c>
      <c r="D111" s="19" t="s">
        <v>794</v>
      </c>
      <c r="E111" s="21" t="s">
        <v>720</v>
      </c>
      <c r="F111" s="20" t="s">
        <v>1994</v>
      </c>
      <c r="G111" s="20" t="s">
        <v>760</v>
      </c>
      <c r="H111" s="20" t="s">
        <v>1995</v>
      </c>
      <c r="I111" s="20" t="s">
        <v>760</v>
      </c>
      <c r="J111" s="20" t="s">
        <v>1996</v>
      </c>
      <c r="K111" s="20" t="s">
        <v>760</v>
      </c>
      <c r="L111" s="82">
        <v>1010.390208</v>
      </c>
      <c r="M111" s="20" t="s">
        <v>1997</v>
      </c>
      <c r="N111" s="82">
        <v>852304.86331349995</v>
      </c>
      <c r="O111" s="20" t="s">
        <v>1998</v>
      </c>
    </row>
    <row r="112" spans="1:15" ht="24" customHeight="1" x14ac:dyDescent="0.2">
      <c r="A112" s="20" t="s">
        <v>1254</v>
      </c>
      <c r="B112" s="19" t="s">
        <v>275</v>
      </c>
      <c r="C112" s="19" t="s">
        <v>1255</v>
      </c>
      <c r="D112" s="19" t="s">
        <v>784</v>
      </c>
      <c r="E112" s="21" t="s">
        <v>785</v>
      </c>
      <c r="F112" s="20" t="s">
        <v>1999</v>
      </c>
      <c r="G112" s="20" t="s">
        <v>760</v>
      </c>
      <c r="H112" s="20" t="s">
        <v>2000</v>
      </c>
      <c r="I112" s="20" t="s">
        <v>760</v>
      </c>
      <c r="J112" s="20" t="s">
        <v>2001</v>
      </c>
      <c r="K112" s="20" t="s">
        <v>760</v>
      </c>
      <c r="L112" s="82">
        <v>993.10500000000002</v>
      </c>
      <c r="M112" s="20" t="s">
        <v>1997</v>
      </c>
      <c r="N112" s="82">
        <v>853297.96831350005</v>
      </c>
      <c r="O112" s="20" t="s">
        <v>2002</v>
      </c>
    </row>
    <row r="113" spans="1:15" ht="24" customHeight="1" x14ac:dyDescent="0.2">
      <c r="A113" s="20" t="s">
        <v>795</v>
      </c>
      <c r="B113" s="19" t="s">
        <v>15</v>
      </c>
      <c r="C113" s="19" t="s">
        <v>796</v>
      </c>
      <c r="D113" s="19" t="s">
        <v>794</v>
      </c>
      <c r="E113" s="21" t="s">
        <v>134</v>
      </c>
      <c r="F113" s="20" t="s">
        <v>2003</v>
      </c>
      <c r="G113" s="20" t="s">
        <v>760</v>
      </c>
      <c r="H113" s="20" t="s">
        <v>2004</v>
      </c>
      <c r="I113" s="20" t="s">
        <v>760</v>
      </c>
      <c r="J113" s="20" t="s">
        <v>2005</v>
      </c>
      <c r="K113" s="20" t="s">
        <v>760</v>
      </c>
      <c r="L113" s="82">
        <v>979.29580060000001</v>
      </c>
      <c r="M113" s="20" t="s">
        <v>1997</v>
      </c>
      <c r="N113" s="82">
        <v>854277.26411410002</v>
      </c>
      <c r="O113" s="20" t="s">
        <v>2006</v>
      </c>
    </row>
    <row r="114" spans="1:15" ht="51.95" customHeight="1" x14ac:dyDescent="0.2">
      <c r="A114" s="20" t="s">
        <v>1292</v>
      </c>
      <c r="B114" s="19" t="s">
        <v>15</v>
      </c>
      <c r="C114" s="19" t="s">
        <v>1293</v>
      </c>
      <c r="D114" s="19" t="s">
        <v>794</v>
      </c>
      <c r="E114" s="21" t="s">
        <v>78</v>
      </c>
      <c r="F114" s="20" t="s">
        <v>2007</v>
      </c>
      <c r="G114" s="20" t="s">
        <v>760</v>
      </c>
      <c r="H114" s="20" t="s">
        <v>2008</v>
      </c>
      <c r="I114" s="20" t="s">
        <v>760</v>
      </c>
      <c r="J114" s="20" t="s">
        <v>2009</v>
      </c>
      <c r="K114" s="20" t="s">
        <v>760</v>
      </c>
      <c r="L114" s="82">
        <v>964.976</v>
      </c>
      <c r="M114" s="20" t="s">
        <v>1997</v>
      </c>
      <c r="N114" s="82">
        <v>855242.24011410004</v>
      </c>
      <c r="O114" s="20" t="s">
        <v>2010</v>
      </c>
    </row>
    <row r="115" spans="1:15" ht="24" customHeight="1" x14ac:dyDescent="0.2">
      <c r="A115" s="20" t="s">
        <v>1270</v>
      </c>
      <c r="B115" s="19" t="s">
        <v>15</v>
      </c>
      <c r="C115" s="19" t="s">
        <v>1271</v>
      </c>
      <c r="D115" s="19" t="s">
        <v>794</v>
      </c>
      <c r="E115" s="21" t="s">
        <v>78</v>
      </c>
      <c r="F115" s="20" t="s">
        <v>2011</v>
      </c>
      <c r="G115" s="20" t="s">
        <v>760</v>
      </c>
      <c r="H115" s="20" t="s">
        <v>2012</v>
      </c>
      <c r="I115" s="20" t="s">
        <v>760</v>
      </c>
      <c r="J115" s="20" t="s">
        <v>2013</v>
      </c>
      <c r="K115" s="20" t="s">
        <v>760</v>
      </c>
      <c r="L115" s="82">
        <v>949.21199999999999</v>
      </c>
      <c r="M115" s="20" t="s">
        <v>1997</v>
      </c>
      <c r="N115" s="82">
        <v>856191.45211409999</v>
      </c>
      <c r="O115" s="20" t="s">
        <v>2014</v>
      </c>
    </row>
    <row r="116" spans="1:15" ht="24" customHeight="1" x14ac:dyDescent="0.2">
      <c r="A116" s="20" t="s">
        <v>828</v>
      </c>
      <c r="B116" s="19" t="s">
        <v>15</v>
      </c>
      <c r="C116" s="19" t="s">
        <v>829</v>
      </c>
      <c r="D116" s="19" t="s">
        <v>784</v>
      </c>
      <c r="E116" s="21" t="s">
        <v>785</v>
      </c>
      <c r="F116" s="20" t="s">
        <v>2015</v>
      </c>
      <c r="G116" s="20" t="s">
        <v>760</v>
      </c>
      <c r="H116" s="20" t="s">
        <v>2016</v>
      </c>
      <c r="I116" s="20" t="s">
        <v>760</v>
      </c>
      <c r="J116" s="20" t="s">
        <v>2017</v>
      </c>
      <c r="K116" s="20" t="s">
        <v>760</v>
      </c>
      <c r="L116" s="82">
        <v>933.33600000000001</v>
      </c>
      <c r="M116" s="20" t="s">
        <v>2018</v>
      </c>
      <c r="N116" s="82">
        <v>857124.7881141</v>
      </c>
      <c r="O116" s="20" t="s">
        <v>2019</v>
      </c>
    </row>
    <row r="117" spans="1:15" ht="24" customHeight="1" x14ac:dyDescent="0.2">
      <c r="A117" s="20" t="s">
        <v>1234</v>
      </c>
      <c r="B117" s="19" t="s">
        <v>240</v>
      </c>
      <c r="C117" s="19" t="s">
        <v>1235</v>
      </c>
      <c r="D117" s="19" t="s">
        <v>784</v>
      </c>
      <c r="E117" s="21" t="s">
        <v>785</v>
      </c>
      <c r="F117" s="20" t="s">
        <v>1975</v>
      </c>
      <c r="G117" s="20" t="s">
        <v>760</v>
      </c>
      <c r="H117" s="20" t="s">
        <v>2020</v>
      </c>
      <c r="I117" s="20" t="s">
        <v>760</v>
      </c>
      <c r="J117" s="20" t="s">
        <v>2021</v>
      </c>
      <c r="K117" s="20" t="s">
        <v>760</v>
      </c>
      <c r="L117" s="82">
        <v>922.09</v>
      </c>
      <c r="M117" s="20" t="s">
        <v>2018</v>
      </c>
      <c r="N117" s="82">
        <v>858046.87811409996</v>
      </c>
      <c r="O117" s="20" t="s">
        <v>2022</v>
      </c>
    </row>
    <row r="118" spans="1:15" ht="24" customHeight="1" x14ac:dyDescent="0.2">
      <c r="A118" s="20" t="s">
        <v>875</v>
      </c>
      <c r="B118" s="19" t="s">
        <v>15</v>
      </c>
      <c r="C118" s="19" t="s">
        <v>876</v>
      </c>
      <c r="D118" s="19" t="s">
        <v>794</v>
      </c>
      <c r="E118" s="21" t="s">
        <v>134</v>
      </c>
      <c r="F118" s="20" t="s">
        <v>2023</v>
      </c>
      <c r="G118" s="20" t="s">
        <v>760</v>
      </c>
      <c r="H118" s="20" t="s">
        <v>2024</v>
      </c>
      <c r="I118" s="20" t="s">
        <v>760</v>
      </c>
      <c r="J118" s="20" t="s">
        <v>2025</v>
      </c>
      <c r="K118" s="20" t="s">
        <v>760</v>
      </c>
      <c r="L118" s="82">
        <v>921.054078</v>
      </c>
      <c r="M118" s="20" t="s">
        <v>2018</v>
      </c>
      <c r="N118" s="82">
        <v>858967.93219209998</v>
      </c>
      <c r="O118" s="20" t="s">
        <v>2026</v>
      </c>
    </row>
    <row r="119" spans="1:15" ht="39" customHeight="1" x14ac:dyDescent="0.2">
      <c r="A119" s="20" t="s">
        <v>1098</v>
      </c>
      <c r="B119" s="19" t="s">
        <v>15</v>
      </c>
      <c r="C119" s="19" t="s">
        <v>1099</v>
      </c>
      <c r="D119" s="19" t="s">
        <v>794</v>
      </c>
      <c r="E119" s="21" t="s">
        <v>281</v>
      </c>
      <c r="F119" s="20" t="s">
        <v>1615</v>
      </c>
      <c r="G119" s="20" t="s">
        <v>760</v>
      </c>
      <c r="H119" s="20" t="s">
        <v>2027</v>
      </c>
      <c r="I119" s="20" t="s">
        <v>760</v>
      </c>
      <c r="J119" s="20" t="s">
        <v>2027</v>
      </c>
      <c r="K119" s="20" t="s">
        <v>760</v>
      </c>
      <c r="L119" s="82">
        <v>908.15</v>
      </c>
      <c r="M119" s="20" t="s">
        <v>2018</v>
      </c>
      <c r="N119" s="82">
        <v>859876.0821921</v>
      </c>
      <c r="O119" s="20" t="s">
        <v>2028</v>
      </c>
    </row>
    <row r="120" spans="1:15" ht="24" customHeight="1" x14ac:dyDescent="0.2">
      <c r="A120" s="20" t="s">
        <v>1240</v>
      </c>
      <c r="B120" s="19" t="s">
        <v>240</v>
      </c>
      <c r="C120" s="19" t="s">
        <v>1241</v>
      </c>
      <c r="D120" s="19" t="s">
        <v>794</v>
      </c>
      <c r="E120" s="21" t="s">
        <v>78</v>
      </c>
      <c r="F120" s="20" t="s">
        <v>2029</v>
      </c>
      <c r="G120" s="20" t="s">
        <v>760</v>
      </c>
      <c r="H120" s="20" t="s">
        <v>2030</v>
      </c>
      <c r="I120" s="20" t="s">
        <v>760</v>
      </c>
      <c r="J120" s="20" t="s">
        <v>2031</v>
      </c>
      <c r="K120" s="20" t="s">
        <v>760</v>
      </c>
      <c r="L120" s="82">
        <v>899.3</v>
      </c>
      <c r="M120" s="20" t="s">
        <v>2018</v>
      </c>
      <c r="N120" s="82">
        <v>860775.38219210005</v>
      </c>
      <c r="O120" s="20" t="s">
        <v>2032</v>
      </c>
    </row>
    <row r="121" spans="1:15" ht="26.1" customHeight="1" x14ac:dyDescent="0.2">
      <c r="A121" s="20" t="s">
        <v>1438</v>
      </c>
      <c r="B121" s="19" t="s">
        <v>15</v>
      </c>
      <c r="C121" s="19" t="s">
        <v>1439</v>
      </c>
      <c r="D121" s="19" t="s">
        <v>794</v>
      </c>
      <c r="E121" s="21" t="s">
        <v>32</v>
      </c>
      <c r="F121" s="20" t="s">
        <v>2033</v>
      </c>
      <c r="G121" s="20" t="s">
        <v>760</v>
      </c>
      <c r="H121" s="20" t="s">
        <v>2034</v>
      </c>
      <c r="I121" s="20" t="s">
        <v>760</v>
      </c>
      <c r="J121" s="20" t="s">
        <v>2035</v>
      </c>
      <c r="K121" s="20" t="s">
        <v>760</v>
      </c>
      <c r="L121" s="82">
        <v>833.31</v>
      </c>
      <c r="M121" s="20" t="s">
        <v>2036</v>
      </c>
      <c r="N121" s="82">
        <v>861608.69219209999</v>
      </c>
      <c r="O121" s="20" t="s">
        <v>2037</v>
      </c>
    </row>
    <row r="122" spans="1:15" ht="65.099999999999994" customHeight="1" x14ac:dyDescent="0.2">
      <c r="A122" s="20" t="s">
        <v>948</v>
      </c>
      <c r="B122" s="19" t="s">
        <v>15</v>
      </c>
      <c r="C122" s="19" t="s">
        <v>949</v>
      </c>
      <c r="D122" s="19" t="s">
        <v>794</v>
      </c>
      <c r="E122" s="21" t="s">
        <v>32</v>
      </c>
      <c r="F122" s="20" t="s">
        <v>1615</v>
      </c>
      <c r="G122" s="20" t="s">
        <v>760</v>
      </c>
      <c r="H122" s="20" t="s">
        <v>2038</v>
      </c>
      <c r="I122" s="20" t="s">
        <v>760</v>
      </c>
      <c r="J122" s="20" t="s">
        <v>2038</v>
      </c>
      <c r="K122" s="20" t="s">
        <v>760</v>
      </c>
      <c r="L122" s="82">
        <v>797.29</v>
      </c>
      <c r="M122" s="20" t="s">
        <v>2036</v>
      </c>
      <c r="N122" s="82">
        <v>862405.98219210003</v>
      </c>
      <c r="O122" s="20" t="s">
        <v>2039</v>
      </c>
    </row>
    <row r="123" spans="1:15" ht="26.1" customHeight="1" x14ac:dyDescent="0.2">
      <c r="A123" s="20" t="s">
        <v>907</v>
      </c>
      <c r="B123" s="19" t="s">
        <v>15</v>
      </c>
      <c r="C123" s="19" t="s">
        <v>908</v>
      </c>
      <c r="D123" s="19" t="s">
        <v>794</v>
      </c>
      <c r="E123" s="21" t="s">
        <v>5</v>
      </c>
      <c r="F123" s="20" t="s">
        <v>2040</v>
      </c>
      <c r="G123" s="20" t="s">
        <v>760</v>
      </c>
      <c r="H123" s="20" t="s">
        <v>2041</v>
      </c>
      <c r="I123" s="20" t="s">
        <v>760</v>
      </c>
      <c r="J123" s="20" t="s">
        <v>2042</v>
      </c>
      <c r="K123" s="20" t="s">
        <v>760</v>
      </c>
      <c r="L123" s="82">
        <v>795.41499999999996</v>
      </c>
      <c r="M123" s="20" t="s">
        <v>2036</v>
      </c>
      <c r="N123" s="82">
        <v>863201.39719209995</v>
      </c>
      <c r="O123" s="20" t="s">
        <v>2043</v>
      </c>
    </row>
    <row r="124" spans="1:15" ht="26.1" customHeight="1" x14ac:dyDescent="0.2">
      <c r="A124" s="20" t="s">
        <v>1139</v>
      </c>
      <c r="B124" s="19" t="s">
        <v>15</v>
      </c>
      <c r="C124" s="19" t="s">
        <v>1140</v>
      </c>
      <c r="D124" s="19" t="s">
        <v>794</v>
      </c>
      <c r="E124" s="21" t="s">
        <v>32</v>
      </c>
      <c r="F124" s="20" t="s">
        <v>1615</v>
      </c>
      <c r="G124" s="20" t="s">
        <v>760</v>
      </c>
      <c r="H124" s="20" t="s">
        <v>2044</v>
      </c>
      <c r="I124" s="20" t="s">
        <v>760</v>
      </c>
      <c r="J124" s="20" t="s">
        <v>2044</v>
      </c>
      <c r="K124" s="20" t="s">
        <v>760</v>
      </c>
      <c r="L124" s="82">
        <v>768.95</v>
      </c>
      <c r="M124" s="20" t="s">
        <v>2036</v>
      </c>
      <c r="N124" s="82">
        <v>863970.34719210002</v>
      </c>
      <c r="O124" s="20" t="s">
        <v>2045</v>
      </c>
    </row>
    <row r="125" spans="1:15" ht="51.95" customHeight="1" x14ac:dyDescent="0.2">
      <c r="A125" s="20" t="s">
        <v>1137</v>
      </c>
      <c r="B125" s="19" t="s">
        <v>15</v>
      </c>
      <c r="C125" s="19" t="s">
        <v>1138</v>
      </c>
      <c r="D125" s="19" t="s">
        <v>794</v>
      </c>
      <c r="E125" s="21" t="s">
        <v>5</v>
      </c>
      <c r="F125" s="20" t="s">
        <v>2046</v>
      </c>
      <c r="G125" s="20" t="s">
        <v>760</v>
      </c>
      <c r="H125" s="20" t="s">
        <v>2047</v>
      </c>
      <c r="I125" s="20" t="s">
        <v>760</v>
      </c>
      <c r="J125" s="20" t="s">
        <v>2048</v>
      </c>
      <c r="K125" s="20" t="s">
        <v>760</v>
      </c>
      <c r="L125" s="82">
        <v>746.61048000000005</v>
      </c>
      <c r="M125" s="20" t="s">
        <v>2049</v>
      </c>
      <c r="N125" s="82">
        <v>864716.95767210005</v>
      </c>
      <c r="O125" s="20" t="s">
        <v>2050</v>
      </c>
    </row>
    <row r="126" spans="1:15" ht="26.1" customHeight="1" x14ac:dyDescent="0.2">
      <c r="A126" s="20" t="s">
        <v>939</v>
      </c>
      <c r="B126" s="19" t="s">
        <v>15</v>
      </c>
      <c r="C126" s="19" t="s">
        <v>940</v>
      </c>
      <c r="D126" s="19" t="s">
        <v>794</v>
      </c>
      <c r="E126" s="21" t="s">
        <v>5</v>
      </c>
      <c r="F126" s="20" t="s">
        <v>1801</v>
      </c>
      <c r="G126" s="20" t="s">
        <v>760</v>
      </c>
      <c r="H126" s="20" t="s">
        <v>2051</v>
      </c>
      <c r="I126" s="20" t="s">
        <v>760</v>
      </c>
      <c r="J126" s="20" t="s">
        <v>2052</v>
      </c>
      <c r="K126" s="20" t="s">
        <v>760</v>
      </c>
      <c r="L126" s="82">
        <v>746.11099999999999</v>
      </c>
      <c r="M126" s="20" t="s">
        <v>2049</v>
      </c>
      <c r="N126" s="82">
        <v>865463.06867209997</v>
      </c>
      <c r="O126" s="20" t="s">
        <v>2053</v>
      </c>
    </row>
    <row r="127" spans="1:15" ht="24" customHeight="1" x14ac:dyDescent="0.2">
      <c r="A127" s="20" t="s">
        <v>1258</v>
      </c>
      <c r="B127" s="19" t="s">
        <v>275</v>
      </c>
      <c r="C127" s="19" t="s">
        <v>1259</v>
      </c>
      <c r="D127" s="19" t="s">
        <v>794</v>
      </c>
      <c r="E127" s="21" t="s">
        <v>1126</v>
      </c>
      <c r="F127" s="20" t="s">
        <v>2054</v>
      </c>
      <c r="G127" s="20" t="s">
        <v>760</v>
      </c>
      <c r="H127" s="20" t="s">
        <v>2055</v>
      </c>
      <c r="I127" s="20" t="s">
        <v>760</v>
      </c>
      <c r="J127" s="20" t="s">
        <v>2056</v>
      </c>
      <c r="K127" s="20" t="s">
        <v>760</v>
      </c>
      <c r="L127" s="82">
        <v>734.5</v>
      </c>
      <c r="M127" s="20" t="s">
        <v>2049</v>
      </c>
      <c r="N127" s="82">
        <v>866197.56867209997</v>
      </c>
      <c r="O127" s="20" t="s">
        <v>2057</v>
      </c>
    </row>
    <row r="128" spans="1:15" ht="51.95" customHeight="1" x14ac:dyDescent="0.2">
      <c r="A128" s="20" t="s">
        <v>1244</v>
      </c>
      <c r="B128" s="19" t="s">
        <v>15</v>
      </c>
      <c r="C128" s="19" t="s">
        <v>1245</v>
      </c>
      <c r="D128" s="19" t="s">
        <v>794</v>
      </c>
      <c r="E128" s="21" t="s">
        <v>32</v>
      </c>
      <c r="F128" s="20" t="s">
        <v>2058</v>
      </c>
      <c r="G128" s="20" t="s">
        <v>760</v>
      </c>
      <c r="H128" s="20" t="s">
        <v>2059</v>
      </c>
      <c r="I128" s="20" t="s">
        <v>760</v>
      </c>
      <c r="J128" s="20" t="s">
        <v>2060</v>
      </c>
      <c r="K128" s="20" t="s">
        <v>760</v>
      </c>
      <c r="L128" s="82">
        <v>729.4</v>
      </c>
      <c r="M128" s="20" t="s">
        <v>2049</v>
      </c>
      <c r="N128" s="82">
        <v>866926.96867209999</v>
      </c>
      <c r="O128" s="20" t="s">
        <v>2061</v>
      </c>
    </row>
    <row r="129" spans="1:15" ht="26.1" customHeight="1" x14ac:dyDescent="0.2">
      <c r="A129" s="20" t="s">
        <v>860</v>
      </c>
      <c r="B129" s="19" t="s">
        <v>15</v>
      </c>
      <c r="C129" s="19" t="s">
        <v>861</v>
      </c>
      <c r="D129" s="19" t="s">
        <v>794</v>
      </c>
      <c r="E129" s="21" t="s">
        <v>785</v>
      </c>
      <c r="F129" s="20" t="s">
        <v>2062</v>
      </c>
      <c r="G129" s="20" t="s">
        <v>760</v>
      </c>
      <c r="H129" s="20" t="s">
        <v>2063</v>
      </c>
      <c r="I129" s="20" t="s">
        <v>760</v>
      </c>
      <c r="J129" s="20" t="s">
        <v>2064</v>
      </c>
      <c r="K129" s="20" t="s">
        <v>760</v>
      </c>
      <c r="L129" s="82">
        <v>723.40550322000001</v>
      </c>
      <c r="M129" s="20" t="s">
        <v>2049</v>
      </c>
      <c r="N129" s="82">
        <v>867650.37417530001</v>
      </c>
      <c r="O129" s="20" t="s">
        <v>2065</v>
      </c>
    </row>
    <row r="130" spans="1:15" ht="39" customHeight="1" x14ac:dyDescent="0.2">
      <c r="A130" s="20" t="s">
        <v>1036</v>
      </c>
      <c r="B130" s="19" t="s">
        <v>15</v>
      </c>
      <c r="C130" s="19" t="s">
        <v>1037</v>
      </c>
      <c r="D130" s="19" t="s">
        <v>794</v>
      </c>
      <c r="E130" s="21" t="s">
        <v>32</v>
      </c>
      <c r="F130" s="20" t="s">
        <v>1615</v>
      </c>
      <c r="G130" s="20" t="s">
        <v>760</v>
      </c>
      <c r="H130" s="20" t="s">
        <v>2066</v>
      </c>
      <c r="I130" s="20" t="s">
        <v>760</v>
      </c>
      <c r="J130" s="20" t="s">
        <v>2066</v>
      </c>
      <c r="K130" s="20" t="s">
        <v>760</v>
      </c>
      <c r="L130" s="82">
        <v>714.47</v>
      </c>
      <c r="M130" s="20" t="s">
        <v>2049</v>
      </c>
      <c r="N130" s="82">
        <v>868364.84417529998</v>
      </c>
      <c r="O130" s="20" t="s">
        <v>2067</v>
      </c>
    </row>
    <row r="131" spans="1:15" ht="24" customHeight="1" x14ac:dyDescent="0.2">
      <c r="A131" s="20" t="s">
        <v>830</v>
      </c>
      <c r="B131" s="19" t="s">
        <v>15</v>
      </c>
      <c r="C131" s="19" t="s">
        <v>831</v>
      </c>
      <c r="D131" s="19" t="s">
        <v>784</v>
      </c>
      <c r="E131" s="21" t="s">
        <v>785</v>
      </c>
      <c r="F131" s="20" t="s">
        <v>2068</v>
      </c>
      <c r="G131" s="20" t="s">
        <v>760</v>
      </c>
      <c r="H131" s="20" t="s">
        <v>2069</v>
      </c>
      <c r="I131" s="20" t="s">
        <v>760</v>
      </c>
      <c r="J131" s="20" t="s">
        <v>2070</v>
      </c>
      <c r="K131" s="20" t="s">
        <v>760</v>
      </c>
      <c r="L131" s="82">
        <v>708.35400000000004</v>
      </c>
      <c r="M131" s="20" t="s">
        <v>2049</v>
      </c>
      <c r="N131" s="82">
        <v>869073.19817530003</v>
      </c>
      <c r="O131" s="20" t="s">
        <v>2071</v>
      </c>
    </row>
    <row r="132" spans="1:15" ht="24" customHeight="1" x14ac:dyDescent="0.2">
      <c r="A132" s="20" t="s">
        <v>1252</v>
      </c>
      <c r="B132" s="19" t="s">
        <v>275</v>
      </c>
      <c r="C132" s="19" t="s">
        <v>1253</v>
      </c>
      <c r="D132" s="19" t="s">
        <v>784</v>
      </c>
      <c r="E132" s="21" t="s">
        <v>785</v>
      </c>
      <c r="F132" s="20" t="s">
        <v>2072</v>
      </c>
      <c r="G132" s="20" t="s">
        <v>760</v>
      </c>
      <c r="H132" s="20" t="s">
        <v>2073</v>
      </c>
      <c r="I132" s="20" t="s">
        <v>760</v>
      </c>
      <c r="J132" s="20" t="s">
        <v>2074</v>
      </c>
      <c r="K132" s="20" t="s">
        <v>760</v>
      </c>
      <c r="L132" s="82">
        <v>689.74199999999996</v>
      </c>
      <c r="M132" s="20" t="s">
        <v>2049</v>
      </c>
      <c r="N132" s="82">
        <v>869762.9401753</v>
      </c>
      <c r="O132" s="20" t="s">
        <v>2075</v>
      </c>
    </row>
    <row r="133" spans="1:15" ht="39" customHeight="1" x14ac:dyDescent="0.2">
      <c r="A133" s="20" t="s">
        <v>1256</v>
      </c>
      <c r="B133" s="19" t="s">
        <v>275</v>
      </c>
      <c r="C133" s="19" t="s">
        <v>1257</v>
      </c>
      <c r="D133" s="19" t="s">
        <v>794</v>
      </c>
      <c r="E133" s="21" t="s">
        <v>1126</v>
      </c>
      <c r="F133" s="20" t="s">
        <v>1836</v>
      </c>
      <c r="G133" s="20" t="s">
        <v>760</v>
      </c>
      <c r="H133" s="20" t="s">
        <v>2076</v>
      </c>
      <c r="I133" s="20" t="s">
        <v>760</v>
      </c>
      <c r="J133" s="20" t="s">
        <v>2077</v>
      </c>
      <c r="K133" s="20" t="s">
        <v>760</v>
      </c>
      <c r="L133" s="82">
        <v>684.18</v>
      </c>
      <c r="M133" s="20" t="s">
        <v>2049</v>
      </c>
      <c r="N133" s="82">
        <v>870447.12017530005</v>
      </c>
      <c r="O133" s="20" t="s">
        <v>2078</v>
      </c>
    </row>
    <row r="134" spans="1:15" ht="24" customHeight="1" x14ac:dyDescent="0.2">
      <c r="A134" s="20" t="s">
        <v>931</v>
      </c>
      <c r="B134" s="19" t="s">
        <v>15</v>
      </c>
      <c r="C134" s="19" t="s">
        <v>932</v>
      </c>
      <c r="D134" s="19" t="s">
        <v>794</v>
      </c>
      <c r="E134" s="21" t="s">
        <v>5</v>
      </c>
      <c r="F134" s="20" t="s">
        <v>2079</v>
      </c>
      <c r="G134" s="20" t="s">
        <v>760</v>
      </c>
      <c r="H134" s="20" t="s">
        <v>2080</v>
      </c>
      <c r="I134" s="20" t="s">
        <v>760</v>
      </c>
      <c r="J134" s="20" t="s">
        <v>2081</v>
      </c>
      <c r="K134" s="20" t="s">
        <v>760</v>
      </c>
      <c r="L134" s="82">
        <v>680.78160000000003</v>
      </c>
      <c r="M134" s="20" t="s">
        <v>2049</v>
      </c>
      <c r="N134" s="82">
        <v>871127.90177530004</v>
      </c>
      <c r="O134" s="20" t="s">
        <v>2082</v>
      </c>
    </row>
    <row r="135" spans="1:15" ht="26.1" customHeight="1" x14ac:dyDescent="0.2">
      <c r="A135" s="20" t="s">
        <v>799</v>
      </c>
      <c r="B135" s="19" t="s">
        <v>15</v>
      </c>
      <c r="C135" s="19" t="s">
        <v>800</v>
      </c>
      <c r="D135" s="19" t="s">
        <v>794</v>
      </c>
      <c r="E135" s="21" t="s">
        <v>5</v>
      </c>
      <c r="F135" s="20" t="s">
        <v>2083</v>
      </c>
      <c r="G135" s="20" t="s">
        <v>760</v>
      </c>
      <c r="H135" s="20" t="s">
        <v>2084</v>
      </c>
      <c r="I135" s="20" t="s">
        <v>760</v>
      </c>
      <c r="J135" s="20" t="s">
        <v>2085</v>
      </c>
      <c r="K135" s="20" t="s">
        <v>760</v>
      </c>
      <c r="L135" s="82">
        <v>669.69</v>
      </c>
      <c r="M135" s="20" t="s">
        <v>2086</v>
      </c>
      <c r="N135" s="82">
        <v>871797.59177529998</v>
      </c>
      <c r="O135" s="20" t="s">
        <v>2087</v>
      </c>
    </row>
    <row r="136" spans="1:15" ht="26.1" customHeight="1" x14ac:dyDescent="0.2">
      <c r="A136" s="20" t="s">
        <v>1207</v>
      </c>
      <c r="B136" s="19" t="s">
        <v>15</v>
      </c>
      <c r="C136" s="19" t="s">
        <v>1208</v>
      </c>
      <c r="D136" s="19" t="s">
        <v>794</v>
      </c>
      <c r="E136" s="21" t="s">
        <v>78</v>
      </c>
      <c r="F136" s="20" t="s">
        <v>2088</v>
      </c>
      <c r="G136" s="20" t="s">
        <v>760</v>
      </c>
      <c r="H136" s="20" t="s">
        <v>2089</v>
      </c>
      <c r="I136" s="20" t="s">
        <v>760</v>
      </c>
      <c r="J136" s="20" t="s">
        <v>2090</v>
      </c>
      <c r="K136" s="20" t="s">
        <v>760</v>
      </c>
      <c r="L136" s="82">
        <v>663</v>
      </c>
      <c r="M136" s="20" t="s">
        <v>2086</v>
      </c>
      <c r="N136" s="82">
        <v>872460.59177529998</v>
      </c>
      <c r="O136" s="20" t="s">
        <v>2091</v>
      </c>
    </row>
    <row r="137" spans="1:15" ht="24" customHeight="1" x14ac:dyDescent="0.2">
      <c r="A137" s="20" t="s">
        <v>2092</v>
      </c>
      <c r="B137" s="19" t="s">
        <v>31</v>
      </c>
      <c r="C137" s="19" t="s">
        <v>2093</v>
      </c>
      <c r="D137" s="19" t="s">
        <v>1881</v>
      </c>
      <c r="E137" s="21" t="s">
        <v>785</v>
      </c>
      <c r="F137" s="20" t="s">
        <v>1882</v>
      </c>
      <c r="G137" s="20" t="s">
        <v>760</v>
      </c>
      <c r="H137" s="20" t="s">
        <v>2094</v>
      </c>
      <c r="I137" s="20" t="s">
        <v>760</v>
      </c>
      <c r="J137" s="20" t="s">
        <v>2095</v>
      </c>
      <c r="K137" s="20" t="s">
        <v>760</v>
      </c>
      <c r="L137" s="82">
        <v>618.620123208</v>
      </c>
      <c r="M137" s="20" t="s">
        <v>2086</v>
      </c>
      <c r="N137" s="82">
        <v>873079.21189849998</v>
      </c>
      <c r="O137" s="20" t="s">
        <v>2096</v>
      </c>
    </row>
    <row r="138" spans="1:15" ht="65.099999999999994" customHeight="1" x14ac:dyDescent="0.2">
      <c r="A138" s="20" t="s">
        <v>840</v>
      </c>
      <c r="B138" s="19" t="s">
        <v>15</v>
      </c>
      <c r="C138" s="19" t="s">
        <v>841</v>
      </c>
      <c r="D138" s="19" t="s">
        <v>794</v>
      </c>
      <c r="E138" s="21" t="s">
        <v>785</v>
      </c>
      <c r="F138" s="20" t="s">
        <v>1749</v>
      </c>
      <c r="G138" s="20" t="s">
        <v>760</v>
      </c>
      <c r="H138" s="20" t="s">
        <v>2097</v>
      </c>
      <c r="I138" s="20" t="s">
        <v>760</v>
      </c>
      <c r="J138" s="20" t="s">
        <v>2098</v>
      </c>
      <c r="K138" s="20" t="s">
        <v>760</v>
      </c>
      <c r="L138" s="82">
        <v>611.94000000000005</v>
      </c>
      <c r="M138" s="20" t="s">
        <v>2086</v>
      </c>
      <c r="N138" s="82">
        <v>873691.15189850004</v>
      </c>
      <c r="O138" s="20" t="s">
        <v>2099</v>
      </c>
    </row>
    <row r="139" spans="1:15" ht="24" customHeight="1" x14ac:dyDescent="0.2">
      <c r="A139" s="20" t="s">
        <v>2100</v>
      </c>
      <c r="B139" s="19" t="s">
        <v>31</v>
      </c>
      <c r="C139" s="19" t="s">
        <v>2101</v>
      </c>
      <c r="D139" s="19" t="s">
        <v>784</v>
      </c>
      <c r="E139" s="21" t="s">
        <v>785</v>
      </c>
      <c r="F139" s="20" t="s">
        <v>2102</v>
      </c>
      <c r="G139" s="20" t="s">
        <v>760</v>
      </c>
      <c r="H139" s="20" t="s">
        <v>2103</v>
      </c>
      <c r="I139" s="20" t="s">
        <v>760</v>
      </c>
      <c r="J139" s="20" t="s">
        <v>2104</v>
      </c>
      <c r="K139" s="20" t="s">
        <v>760</v>
      </c>
      <c r="L139" s="82">
        <v>611.64415218600004</v>
      </c>
      <c r="M139" s="20" t="s">
        <v>2086</v>
      </c>
      <c r="N139" s="82">
        <v>874302.79605070001</v>
      </c>
      <c r="O139" s="20" t="s">
        <v>2105</v>
      </c>
    </row>
    <row r="140" spans="1:15" ht="24" customHeight="1" x14ac:dyDescent="0.2">
      <c r="A140" s="20" t="s">
        <v>1260</v>
      </c>
      <c r="B140" s="19" t="s">
        <v>275</v>
      </c>
      <c r="C140" s="19" t="s">
        <v>1261</v>
      </c>
      <c r="D140" s="19" t="s">
        <v>794</v>
      </c>
      <c r="E140" s="21" t="s">
        <v>1126</v>
      </c>
      <c r="F140" s="20" t="s">
        <v>2106</v>
      </c>
      <c r="G140" s="20" t="s">
        <v>760</v>
      </c>
      <c r="H140" s="20" t="s">
        <v>2107</v>
      </c>
      <c r="I140" s="20" t="s">
        <v>760</v>
      </c>
      <c r="J140" s="20" t="s">
        <v>2108</v>
      </c>
      <c r="K140" s="20" t="s">
        <v>760</v>
      </c>
      <c r="L140" s="82">
        <v>611.1</v>
      </c>
      <c r="M140" s="20" t="s">
        <v>2086</v>
      </c>
      <c r="N140" s="82">
        <v>874913.89605069999</v>
      </c>
      <c r="O140" s="20" t="s">
        <v>2109</v>
      </c>
    </row>
    <row r="141" spans="1:15" ht="24" customHeight="1" x14ac:dyDescent="0.2">
      <c r="A141" s="20" t="s">
        <v>1026</v>
      </c>
      <c r="B141" s="19" t="s">
        <v>240</v>
      </c>
      <c r="C141" s="19" t="s">
        <v>1027</v>
      </c>
      <c r="D141" s="19" t="s">
        <v>784</v>
      </c>
      <c r="E141" s="21" t="s">
        <v>785</v>
      </c>
      <c r="F141" s="20" t="s">
        <v>2110</v>
      </c>
      <c r="G141" s="20" t="s">
        <v>760</v>
      </c>
      <c r="H141" s="20" t="s">
        <v>1976</v>
      </c>
      <c r="I141" s="20" t="s">
        <v>760</v>
      </c>
      <c r="J141" s="20" t="s">
        <v>2111</v>
      </c>
      <c r="K141" s="20" t="s">
        <v>760</v>
      </c>
      <c r="L141" s="82">
        <v>554.11332000000004</v>
      </c>
      <c r="M141" s="20" t="s">
        <v>2112</v>
      </c>
      <c r="N141" s="82">
        <v>875468.00937069999</v>
      </c>
      <c r="O141" s="20" t="s">
        <v>2113</v>
      </c>
    </row>
    <row r="142" spans="1:15" ht="39" customHeight="1" x14ac:dyDescent="0.2">
      <c r="A142" s="20" t="s">
        <v>1187</v>
      </c>
      <c r="B142" s="19" t="s">
        <v>15</v>
      </c>
      <c r="C142" s="19" t="s">
        <v>1188</v>
      </c>
      <c r="D142" s="19" t="s">
        <v>794</v>
      </c>
      <c r="E142" s="21" t="s">
        <v>32</v>
      </c>
      <c r="F142" s="20" t="s">
        <v>1615</v>
      </c>
      <c r="G142" s="20" t="s">
        <v>760</v>
      </c>
      <c r="H142" s="20" t="s">
        <v>2114</v>
      </c>
      <c r="I142" s="20" t="s">
        <v>760</v>
      </c>
      <c r="J142" s="20" t="s">
        <v>2114</v>
      </c>
      <c r="K142" s="20" t="s">
        <v>760</v>
      </c>
      <c r="L142" s="82">
        <v>547.79</v>
      </c>
      <c r="M142" s="20" t="s">
        <v>2112</v>
      </c>
      <c r="N142" s="82">
        <v>876015.79937070003</v>
      </c>
      <c r="O142" s="20" t="s">
        <v>2115</v>
      </c>
    </row>
    <row r="143" spans="1:15" ht="26.1" customHeight="1" x14ac:dyDescent="0.2">
      <c r="A143" s="20" t="s">
        <v>1213</v>
      </c>
      <c r="B143" s="19" t="s">
        <v>15</v>
      </c>
      <c r="C143" s="19" t="s">
        <v>1214</v>
      </c>
      <c r="D143" s="19" t="s">
        <v>794</v>
      </c>
      <c r="E143" s="21" t="s">
        <v>78</v>
      </c>
      <c r="F143" s="20" t="s">
        <v>2116</v>
      </c>
      <c r="G143" s="20" t="s">
        <v>760</v>
      </c>
      <c r="H143" s="20" t="s">
        <v>2117</v>
      </c>
      <c r="I143" s="20" t="s">
        <v>760</v>
      </c>
      <c r="J143" s="20" t="s">
        <v>2118</v>
      </c>
      <c r="K143" s="20" t="s">
        <v>760</v>
      </c>
      <c r="L143" s="82">
        <v>540.6</v>
      </c>
      <c r="M143" s="20" t="s">
        <v>2112</v>
      </c>
      <c r="N143" s="82">
        <v>876556.3993707</v>
      </c>
      <c r="O143" s="20" t="s">
        <v>2119</v>
      </c>
    </row>
    <row r="144" spans="1:15" ht="24" customHeight="1" x14ac:dyDescent="0.2">
      <c r="A144" s="20" t="s">
        <v>895</v>
      </c>
      <c r="B144" s="19" t="s">
        <v>15</v>
      </c>
      <c r="C144" s="19" t="s">
        <v>896</v>
      </c>
      <c r="D144" s="19" t="s">
        <v>794</v>
      </c>
      <c r="E144" s="21" t="s">
        <v>720</v>
      </c>
      <c r="F144" s="20" t="s">
        <v>2120</v>
      </c>
      <c r="G144" s="20" t="s">
        <v>760</v>
      </c>
      <c r="H144" s="20" t="s">
        <v>2121</v>
      </c>
      <c r="I144" s="20" t="s">
        <v>760</v>
      </c>
      <c r="J144" s="20" t="s">
        <v>2122</v>
      </c>
      <c r="K144" s="20" t="s">
        <v>760</v>
      </c>
      <c r="L144" s="82">
        <v>526.48636639999995</v>
      </c>
      <c r="M144" s="20" t="s">
        <v>2112</v>
      </c>
      <c r="N144" s="82">
        <v>877082.88573710003</v>
      </c>
      <c r="O144" s="20" t="s">
        <v>2123</v>
      </c>
    </row>
    <row r="145" spans="1:15" ht="39" customHeight="1" x14ac:dyDescent="0.2">
      <c r="A145" s="20" t="s">
        <v>941</v>
      </c>
      <c r="B145" s="19" t="s">
        <v>15</v>
      </c>
      <c r="C145" s="19" t="s">
        <v>942</v>
      </c>
      <c r="D145" s="19" t="s">
        <v>794</v>
      </c>
      <c r="E145" s="21" t="s">
        <v>5</v>
      </c>
      <c r="F145" s="20" t="s">
        <v>2124</v>
      </c>
      <c r="G145" s="20" t="s">
        <v>760</v>
      </c>
      <c r="H145" s="20" t="s">
        <v>2125</v>
      </c>
      <c r="I145" s="20" t="s">
        <v>760</v>
      </c>
      <c r="J145" s="20" t="s">
        <v>2126</v>
      </c>
      <c r="K145" s="20" t="s">
        <v>760</v>
      </c>
      <c r="L145" s="82">
        <v>499.17919999999998</v>
      </c>
      <c r="M145" s="20" t="s">
        <v>2112</v>
      </c>
      <c r="N145" s="82">
        <v>877582.06493710005</v>
      </c>
      <c r="O145" s="20" t="s">
        <v>2127</v>
      </c>
    </row>
    <row r="146" spans="1:15" ht="26.1" customHeight="1" x14ac:dyDescent="0.2">
      <c r="A146" s="20" t="s">
        <v>1052</v>
      </c>
      <c r="B146" s="19" t="s">
        <v>31</v>
      </c>
      <c r="C146" s="19" t="s">
        <v>1053</v>
      </c>
      <c r="D146" s="19" t="s">
        <v>794</v>
      </c>
      <c r="E146" s="21" t="s">
        <v>32</v>
      </c>
      <c r="F146" s="20" t="s">
        <v>1836</v>
      </c>
      <c r="G146" s="20" t="s">
        <v>760</v>
      </c>
      <c r="H146" s="20" t="s">
        <v>2128</v>
      </c>
      <c r="I146" s="20" t="s">
        <v>760</v>
      </c>
      <c r="J146" s="20" t="s">
        <v>2129</v>
      </c>
      <c r="K146" s="20" t="s">
        <v>760</v>
      </c>
      <c r="L146" s="82">
        <v>488.64</v>
      </c>
      <c r="M146" s="20" t="s">
        <v>2130</v>
      </c>
      <c r="N146" s="82">
        <v>878070.70493709994</v>
      </c>
      <c r="O146" s="20" t="s">
        <v>2131</v>
      </c>
    </row>
    <row r="147" spans="1:15" ht="26.1" customHeight="1" x14ac:dyDescent="0.2">
      <c r="A147" s="20" t="s">
        <v>1003</v>
      </c>
      <c r="B147" s="19" t="s">
        <v>15</v>
      </c>
      <c r="C147" s="19" t="s">
        <v>1004</v>
      </c>
      <c r="D147" s="19" t="s">
        <v>794</v>
      </c>
      <c r="E147" s="21" t="s">
        <v>78</v>
      </c>
      <c r="F147" s="20" t="s">
        <v>2132</v>
      </c>
      <c r="G147" s="20" t="s">
        <v>760</v>
      </c>
      <c r="H147" s="20" t="s">
        <v>2133</v>
      </c>
      <c r="I147" s="20" t="s">
        <v>760</v>
      </c>
      <c r="J147" s="20" t="s">
        <v>2134</v>
      </c>
      <c r="K147" s="20" t="s">
        <v>760</v>
      </c>
      <c r="L147" s="82">
        <v>485.42</v>
      </c>
      <c r="M147" s="20" t="s">
        <v>2130</v>
      </c>
      <c r="N147" s="82">
        <v>878556.12493709999</v>
      </c>
      <c r="O147" s="20" t="s">
        <v>2135</v>
      </c>
    </row>
    <row r="148" spans="1:15" ht="26.1" customHeight="1" x14ac:dyDescent="0.2">
      <c r="A148" s="20" t="s">
        <v>1262</v>
      </c>
      <c r="B148" s="19" t="s">
        <v>15</v>
      </c>
      <c r="C148" s="19" t="s">
        <v>1263</v>
      </c>
      <c r="D148" s="19" t="s">
        <v>794</v>
      </c>
      <c r="E148" s="21" t="s">
        <v>78</v>
      </c>
      <c r="F148" s="20" t="s">
        <v>2136</v>
      </c>
      <c r="G148" s="20" t="s">
        <v>760</v>
      </c>
      <c r="H148" s="20" t="s">
        <v>2137</v>
      </c>
      <c r="I148" s="20" t="s">
        <v>760</v>
      </c>
      <c r="J148" s="20" t="s">
        <v>2138</v>
      </c>
      <c r="K148" s="20" t="s">
        <v>760</v>
      </c>
      <c r="L148" s="82">
        <v>484.61624999999998</v>
      </c>
      <c r="M148" s="20" t="s">
        <v>2130</v>
      </c>
      <c r="N148" s="82">
        <v>879040.74118709995</v>
      </c>
      <c r="O148" s="20" t="s">
        <v>2139</v>
      </c>
    </row>
    <row r="149" spans="1:15" ht="51.95" customHeight="1" x14ac:dyDescent="0.2">
      <c r="A149" s="20" t="s">
        <v>1009</v>
      </c>
      <c r="B149" s="19" t="s">
        <v>15</v>
      </c>
      <c r="C149" s="19" t="s">
        <v>1010</v>
      </c>
      <c r="D149" s="19" t="s">
        <v>794</v>
      </c>
      <c r="E149" s="21" t="s">
        <v>32</v>
      </c>
      <c r="F149" s="20" t="s">
        <v>1615</v>
      </c>
      <c r="G149" s="20" t="s">
        <v>760</v>
      </c>
      <c r="H149" s="20" t="s">
        <v>2140</v>
      </c>
      <c r="I149" s="20" t="s">
        <v>760</v>
      </c>
      <c r="J149" s="20" t="s">
        <v>2140</v>
      </c>
      <c r="K149" s="20" t="s">
        <v>760</v>
      </c>
      <c r="L149" s="82">
        <v>461.45</v>
      </c>
      <c r="M149" s="20" t="s">
        <v>2130</v>
      </c>
      <c r="N149" s="82">
        <v>879502.19118710002</v>
      </c>
      <c r="O149" s="20" t="s">
        <v>2141</v>
      </c>
    </row>
    <row r="150" spans="1:15" ht="24" customHeight="1" x14ac:dyDescent="0.2">
      <c r="A150" s="20" t="s">
        <v>917</v>
      </c>
      <c r="B150" s="19" t="s">
        <v>15</v>
      </c>
      <c r="C150" s="19" t="s">
        <v>918</v>
      </c>
      <c r="D150" s="19" t="s">
        <v>794</v>
      </c>
      <c r="E150" s="21" t="s">
        <v>50</v>
      </c>
      <c r="F150" s="20" t="s">
        <v>2142</v>
      </c>
      <c r="G150" s="20" t="s">
        <v>760</v>
      </c>
      <c r="H150" s="20" t="s">
        <v>2143</v>
      </c>
      <c r="I150" s="20" t="s">
        <v>760</v>
      </c>
      <c r="J150" s="20" t="s">
        <v>2144</v>
      </c>
      <c r="K150" s="20" t="s">
        <v>760</v>
      </c>
      <c r="L150" s="82">
        <v>461.17017049999998</v>
      </c>
      <c r="M150" s="20" t="s">
        <v>2130</v>
      </c>
      <c r="N150" s="82">
        <v>879963.36135759996</v>
      </c>
      <c r="O150" s="20" t="s">
        <v>2145</v>
      </c>
    </row>
    <row r="151" spans="1:15" ht="24" customHeight="1" x14ac:dyDescent="0.2">
      <c r="A151" s="20" t="s">
        <v>956</v>
      </c>
      <c r="B151" s="19" t="s">
        <v>15</v>
      </c>
      <c r="C151" s="19" t="s">
        <v>957</v>
      </c>
      <c r="D151" s="19" t="s">
        <v>794</v>
      </c>
      <c r="E151" s="21" t="s">
        <v>32</v>
      </c>
      <c r="F151" s="20" t="s">
        <v>1945</v>
      </c>
      <c r="G151" s="20" t="s">
        <v>760</v>
      </c>
      <c r="H151" s="20" t="s">
        <v>2146</v>
      </c>
      <c r="I151" s="20" t="s">
        <v>760</v>
      </c>
      <c r="J151" s="20" t="s">
        <v>2147</v>
      </c>
      <c r="K151" s="20" t="s">
        <v>760</v>
      </c>
      <c r="L151" s="82">
        <v>459.5607</v>
      </c>
      <c r="M151" s="20" t="s">
        <v>2130</v>
      </c>
      <c r="N151" s="82">
        <v>880422.92205759999</v>
      </c>
      <c r="O151" s="20" t="s">
        <v>2148</v>
      </c>
    </row>
    <row r="152" spans="1:15" ht="24" customHeight="1" x14ac:dyDescent="0.2">
      <c r="A152" s="20" t="s">
        <v>1028</v>
      </c>
      <c r="B152" s="19" t="s">
        <v>240</v>
      </c>
      <c r="C152" s="19" t="s">
        <v>1029</v>
      </c>
      <c r="D152" s="19" t="s">
        <v>784</v>
      </c>
      <c r="E152" s="21" t="s">
        <v>785</v>
      </c>
      <c r="F152" s="20" t="s">
        <v>2110</v>
      </c>
      <c r="G152" s="20" t="s">
        <v>760</v>
      </c>
      <c r="H152" s="20" t="s">
        <v>2020</v>
      </c>
      <c r="I152" s="20" t="s">
        <v>760</v>
      </c>
      <c r="J152" s="20" t="s">
        <v>2149</v>
      </c>
      <c r="K152" s="20" t="s">
        <v>760</v>
      </c>
      <c r="L152" s="82">
        <v>455.05200000000002</v>
      </c>
      <c r="M152" s="20" t="s">
        <v>2130</v>
      </c>
      <c r="N152" s="82">
        <v>880877.97405760002</v>
      </c>
      <c r="O152" s="20" t="s">
        <v>2150</v>
      </c>
    </row>
    <row r="153" spans="1:15" ht="26.1" customHeight="1" x14ac:dyDescent="0.2">
      <c r="A153" s="20" t="s">
        <v>1305</v>
      </c>
      <c r="B153" s="19" t="s">
        <v>31</v>
      </c>
      <c r="C153" s="19" t="s">
        <v>1306</v>
      </c>
      <c r="D153" s="19" t="s">
        <v>794</v>
      </c>
      <c r="E153" s="21" t="s">
        <v>50</v>
      </c>
      <c r="F153" s="20" t="s">
        <v>2151</v>
      </c>
      <c r="G153" s="20" t="s">
        <v>760</v>
      </c>
      <c r="H153" s="20" t="s">
        <v>2152</v>
      </c>
      <c r="I153" s="20" t="s">
        <v>760</v>
      </c>
      <c r="J153" s="20" t="s">
        <v>2153</v>
      </c>
      <c r="K153" s="20" t="s">
        <v>760</v>
      </c>
      <c r="L153" s="82">
        <v>444.49726413000002</v>
      </c>
      <c r="M153" s="20" t="s">
        <v>2130</v>
      </c>
      <c r="N153" s="82">
        <v>881322.47132170002</v>
      </c>
      <c r="O153" s="20" t="s">
        <v>2154</v>
      </c>
    </row>
    <row r="154" spans="1:15" ht="24" customHeight="1" x14ac:dyDescent="0.2">
      <c r="A154" s="20" t="s">
        <v>2155</v>
      </c>
      <c r="B154" s="19" t="s">
        <v>31</v>
      </c>
      <c r="C154" s="19" t="s">
        <v>2156</v>
      </c>
      <c r="D154" s="19" t="s">
        <v>2157</v>
      </c>
      <c r="E154" s="21" t="s">
        <v>785</v>
      </c>
      <c r="F154" s="20" t="s">
        <v>1882</v>
      </c>
      <c r="G154" s="20" t="s">
        <v>760</v>
      </c>
      <c r="H154" s="20" t="s">
        <v>2158</v>
      </c>
      <c r="I154" s="20" t="s">
        <v>760</v>
      </c>
      <c r="J154" s="20" t="s">
        <v>2159</v>
      </c>
      <c r="K154" s="20" t="s">
        <v>760</v>
      </c>
      <c r="L154" s="82">
        <v>437.06856531</v>
      </c>
      <c r="M154" s="20" t="s">
        <v>2130</v>
      </c>
      <c r="N154" s="82">
        <v>881759.53988699999</v>
      </c>
      <c r="O154" s="20" t="s">
        <v>2160</v>
      </c>
    </row>
    <row r="155" spans="1:15" ht="26.1" customHeight="1" x14ac:dyDescent="0.2">
      <c r="A155" s="20" t="s">
        <v>921</v>
      </c>
      <c r="B155" s="19" t="s">
        <v>15</v>
      </c>
      <c r="C155" s="19" t="s">
        <v>922</v>
      </c>
      <c r="D155" s="19" t="s">
        <v>794</v>
      </c>
      <c r="E155" s="21" t="s">
        <v>5</v>
      </c>
      <c r="F155" s="20" t="s">
        <v>2161</v>
      </c>
      <c r="G155" s="20" t="s">
        <v>760</v>
      </c>
      <c r="H155" s="20" t="s">
        <v>2162</v>
      </c>
      <c r="I155" s="20" t="s">
        <v>760</v>
      </c>
      <c r="J155" s="20" t="s">
        <v>2163</v>
      </c>
      <c r="K155" s="20" t="s">
        <v>760</v>
      </c>
      <c r="L155" s="82">
        <v>428.0616</v>
      </c>
      <c r="M155" s="20" t="s">
        <v>2130</v>
      </c>
      <c r="N155" s="82">
        <v>882187.60148700001</v>
      </c>
      <c r="O155" s="20" t="s">
        <v>2164</v>
      </c>
    </row>
    <row r="156" spans="1:15" ht="24" customHeight="1" x14ac:dyDescent="0.2">
      <c r="A156" s="20" t="s">
        <v>1348</v>
      </c>
      <c r="B156" s="19" t="s">
        <v>15</v>
      </c>
      <c r="C156" s="19" t="s">
        <v>1349</v>
      </c>
      <c r="D156" s="19" t="s">
        <v>784</v>
      </c>
      <c r="E156" s="21" t="s">
        <v>785</v>
      </c>
      <c r="F156" s="20" t="s">
        <v>2165</v>
      </c>
      <c r="G156" s="20" t="s">
        <v>760</v>
      </c>
      <c r="H156" s="20" t="s">
        <v>1542</v>
      </c>
      <c r="I156" s="20" t="s">
        <v>760</v>
      </c>
      <c r="J156" s="20" t="s">
        <v>2166</v>
      </c>
      <c r="K156" s="20" t="s">
        <v>760</v>
      </c>
      <c r="L156" s="82">
        <v>419.32799999999997</v>
      </c>
      <c r="M156" s="20" t="s">
        <v>2130</v>
      </c>
      <c r="N156" s="82">
        <v>882606.92948699999</v>
      </c>
      <c r="O156" s="20" t="s">
        <v>2167</v>
      </c>
    </row>
    <row r="157" spans="1:15" ht="24" customHeight="1" x14ac:dyDescent="0.2">
      <c r="A157" s="20" t="s">
        <v>822</v>
      </c>
      <c r="B157" s="19" t="s">
        <v>15</v>
      </c>
      <c r="C157" s="19" t="s">
        <v>823</v>
      </c>
      <c r="D157" s="19" t="s">
        <v>784</v>
      </c>
      <c r="E157" s="21" t="s">
        <v>785</v>
      </c>
      <c r="F157" s="20" t="s">
        <v>1615</v>
      </c>
      <c r="G157" s="20" t="s">
        <v>760</v>
      </c>
      <c r="H157" s="20" t="s">
        <v>2168</v>
      </c>
      <c r="I157" s="20" t="s">
        <v>760</v>
      </c>
      <c r="J157" s="20" t="s">
        <v>2168</v>
      </c>
      <c r="K157" s="20" t="s">
        <v>760</v>
      </c>
      <c r="L157" s="82">
        <v>398.53</v>
      </c>
      <c r="M157" s="20" t="s">
        <v>2169</v>
      </c>
      <c r="N157" s="82">
        <v>883005.45948700001</v>
      </c>
      <c r="O157" s="20" t="s">
        <v>2170</v>
      </c>
    </row>
    <row r="158" spans="1:15" ht="26.1" customHeight="1" x14ac:dyDescent="0.2">
      <c r="A158" s="20" t="s">
        <v>1007</v>
      </c>
      <c r="B158" s="19" t="s">
        <v>15</v>
      </c>
      <c r="C158" s="19" t="s">
        <v>1008</v>
      </c>
      <c r="D158" s="19" t="s">
        <v>794</v>
      </c>
      <c r="E158" s="21" t="s">
        <v>32</v>
      </c>
      <c r="F158" s="20" t="s">
        <v>2171</v>
      </c>
      <c r="G158" s="20" t="s">
        <v>760</v>
      </c>
      <c r="H158" s="20" t="s">
        <v>2172</v>
      </c>
      <c r="I158" s="20" t="s">
        <v>760</v>
      </c>
      <c r="J158" s="20" t="s">
        <v>2173</v>
      </c>
      <c r="K158" s="20" t="s">
        <v>760</v>
      </c>
      <c r="L158" s="82">
        <v>397.1</v>
      </c>
      <c r="M158" s="20" t="s">
        <v>2169</v>
      </c>
      <c r="N158" s="82">
        <v>883402.55948699999</v>
      </c>
      <c r="O158" s="20" t="s">
        <v>2174</v>
      </c>
    </row>
    <row r="159" spans="1:15" ht="39" customHeight="1" x14ac:dyDescent="0.2">
      <c r="A159" s="20" t="s">
        <v>1440</v>
      </c>
      <c r="B159" s="19" t="s">
        <v>15</v>
      </c>
      <c r="C159" s="19" t="s">
        <v>1441</v>
      </c>
      <c r="D159" s="19" t="s">
        <v>794</v>
      </c>
      <c r="E159" s="21" t="s">
        <v>134</v>
      </c>
      <c r="F159" s="20" t="s">
        <v>2175</v>
      </c>
      <c r="G159" s="20" t="s">
        <v>760</v>
      </c>
      <c r="H159" s="20" t="s">
        <v>2176</v>
      </c>
      <c r="I159" s="20" t="s">
        <v>760</v>
      </c>
      <c r="J159" s="20" t="s">
        <v>2177</v>
      </c>
      <c r="K159" s="20" t="s">
        <v>760</v>
      </c>
      <c r="L159" s="82">
        <v>385.22609999999997</v>
      </c>
      <c r="M159" s="20" t="s">
        <v>2169</v>
      </c>
      <c r="N159" s="82">
        <v>883787.78558699996</v>
      </c>
      <c r="O159" s="20" t="s">
        <v>2178</v>
      </c>
    </row>
    <row r="160" spans="1:15" ht="24" customHeight="1" x14ac:dyDescent="0.2">
      <c r="A160" s="20" t="s">
        <v>2179</v>
      </c>
      <c r="B160" s="19" t="s">
        <v>31</v>
      </c>
      <c r="C160" s="19" t="s">
        <v>2180</v>
      </c>
      <c r="D160" s="19" t="s">
        <v>794</v>
      </c>
      <c r="E160" s="21" t="s">
        <v>134</v>
      </c>
      <c r="F160" s="20" t="s">
        <v>2181</v>
      </c>
      <c r="G160" s="20" t="s">
        <v>760</v>
      </c>
      <c r="H160" s="20" t="s">
        <v>2182</v>
      </c>
      <c r="I160" s="20" t="s">
        <v>760</v>
      </c>
      <c r="J160" s="20" t="s">
        <v>2183</v>
      </c>
      <c r="K160" s="20" t="s">
        <v>760</v>
      </c>
      <c r="L160" s="82">
        <v>379.82019108999998</v>
      </c>
      <c r="M160" s="20" t="s">
        <v>2169</v>
      </c>
      <c r="N160" s="82">
        <v>884167.60577809997</v>
      </c>
      <c r="O160" s="20" t="s">
        <v>2184</v>
      </c>
    </row>
    <row r="161" spans="1:15" ht="26.1" customHeight="1" x14ac:dyDescent="0.2">
      <c r="A161" s="20" t="s">
        <v>1046</v>
      </c>
      <c r="B161" s="19" t="s">
        <v>15</v>
      </c>
      <c r="C161" s="19" t="s">
        <v>1047</v>
      </c>
      <c r="D161" s="19" t="s">
        <v>794</v>
      </c>
      <c r="E161" s="21" t="s">
        <v>78</v>
      </c>
      <c r="F161" s="20" t="s">
        <v>2185</v>
      </c>
      <c r="G161" s="20" t="s">
        <v>760</v>
      </c>
      <c r="H161" s="20" t="s">
        <v>2186</v>
      </c>
      <c r="I161" s="20" t="s">
        <v>760</v>
      </c>
      <c r="J161" s="20" t="s">
        <v>2187</v>
      </c>
      <c r="K161" s="20" t="s">
        <v>760</v>
      </c>
      <c r="L161" s="82">
        <v>376.89600000000002</v>
      </c>
      <c r="M161" s="20" t="s">
        <v>2169</v>
      </c>
      <c r="N161" s="82">
        <v>884544.50177810004</v>
      </c>
      <c r="O161" s="20" t="s">
        <v>2188</v>
      </c>
    </row>
    <row r="162" spans="1:15" ht="24" customHeight="1" x14ac:dyDescent="0.2">
      <c r="A162" s="20" t="s">
        <v>1191</v>
      </c>
      <c r="B162" s="19" t="s">
        <v>15</v>
      </c>
      <c r="C162" s="19" t="s">
        <v>1192</v>
      </c>
      <c r="D162" s="19" t="s">
        <v>794</v>
      </c>
      <c r="E162" s="21" t="s">
        <v>32</v>
      </c>
      <c r="F162" s="20" t="s">
        <v>1615</v>
      </c>
      <c r="G162" s="20" t="s">
        <v>760</v>
      </c>
      <c r="H162" s="20" t="s">
        <v>2189</v>
      </c>
      <c r="I162" s="20" t="s">
        <v>760</v>
      </c>
      <c r="J162" s="20" t="s">
        <v>2189</v>
      </c>
      <c r="K162" s="20" t="s">
        <v>760</v>
      </c>
      <c r="L162" s="82">
        <v>368.6</v>
      </c>
      <c r="M162" s="20" t="s">
        <v>2169</v>
      </c>
      <c r="N162" s="82">
        <v>884913.10177810001</v>
      </c>
      <c r="O162" s="20" t="s">
        <v>2190</v>
      </c>
    </row>
    <row r="163" spans="1:15" ht="39" customHeight="1" x14ac:dyDescent="0.2">
      <c r="A163" s="20" t="s">
        <v>1044</v>
      </c>
      <c r="B163" s="19" t="s">
        <v>15</v>
      </c>
      <c r="C163" s="19" t="s">
        <v>1045</v>
      </c>
      <c r="D163" s="19" t="s">
        <v>794</v>
      </c>
      <c r="E163" s="21" t="s">
        <v>32</v>
      </c>
      <c r="F163" s="20" t="s">
        <v>1615</v>
      </c>
      <c r="G163" s="20" t="s">
        <v>760</v>
      </c>
      <c r="H163" s="20" t="s">
        <v>2191</v>
      </c>
      <c r="I163" s="20" t="s">
        <v>760</v>
      </c>
      <c r="J163" s="20" t="s">
        <v>2191</v>
      </c>
      <c r="K163" s="20" t="s">
        <v>760</v>
      </c>
      <c r="L163" s="82">
        <v>367.4</v>
      </c>
      <c r="M163" s="20" t="s">
        <v>2169</v>
      </c>
      <c r="N163" s="82">
        <v>885280.50177810004</v>
      </c>
      <c r="O163" s="20" t="s">
        <v>2192</v>
      </c>
    </row>
    <row r="164" spans="1:15" ht="24" customHeight="1" x14ac:dyDescent="0.2">
      <c r="A164" s="20" t="s">
        <v>838</v>
      </c>
      <c r="B164" s="19" t="s">
        <v>15</v>
      </c>
      <c r="C164" s="19" t="s">
        <v>839</v>
      </c>
      <c r="D164" s="19" t="s">
        <v>784</v>
      </c>
      <c r="E164" s="21" t="s">
        <v>785</v>
      </c>
      <c r="F164" s="20" t="s">
        <v>1784</v>
      </c>
      <c r="G164" s="20" t="s">
        <v>760</v>
      </c>
      <c r="H164" s="20" t="s">
        <v>2193</v>
      </c>
      <c r="I164" s="20" t="s">
        <v>760</v>
      </c>
      <c r="J164" s="20" t="s">
        <v>2194</v>
      </c>
      <c r="K164" s="20" t="s">
        <v>760</v>
      </c>
      <c r="L164" s="82">
        <v>361.6</v>
      </c>
      <c r="M164" s="20" t="s">
        <v>2169</v>
      </c>
      <c r="N164" s="82">
        <v>885642.10177810001</v>
      </c>
      <c r="O164" s="20" t="s">
        <v>2195</v>
      </c>
    </row>
    <row r="165" spans="1:15" ht="24" customHeight="1" x14ac:dyDescent="0.2">
      <c r="A165" s="20" t="s">
        <v>1268</v>
      </c>
      <c r="B165" s="19" t="s">
        <v>15</v>
      </c>
      <c r="C165" s="19" t="s">
        <v>1269</v>
      </c>
      <c r="D165" s="19" t="s">
        <v>794</v>
      </c>
      <c r="E165" s="21" t="s">
        <v>32</v>
      </c>
      <c r="F165" s="20" t="s">
        <v>2054</v>
      </c>
      <c r="G165" s="20" t="s">
        <v>760</v>
      </c>
      <c r="H165" s="20" t="s">
        <v>2196</v>
      </c>
      <c r="I165" s="20" t="s">
        <v>760</v>
      </c>
      <c r="J165" s="20" t="s">
        <v>2197</v>
      </c>
      <c r="K165" s="20" t="s">
        <v>760</v>
      </c>
      <c r="L165" s="82">
        <v>337</v>
      </c>
      <c r="M165" s="20" t="s">
        <v>2169</v>
      </c>
      <c r="N165" s="82">
        <v>885979.10177810001</v>
      </c>
      <c r="O165" s="20" t="s">
        <v>2198</v>
      </c>
    </row>
    <row r="166" spans="1:15" ht="26.1" customHeight="1" x14ac:dyDescent="0.2">
      <c r="A166" s="20" t="s">
        <v>1266</v>
      </c>
      <c r="B166" s="19" t="s">
        <v>15</v>
      </c>
      <c r="C166" s="19" t="s">
        <v>1267</v>
      </c>
      <c r="D166" s="19" t="s">
        <v>794</v>
      </c>
      <c r="E166" s="21" t="s">
        <v>32</v>
      </c>
      <c r="F166" s="20" t="s">
        <v>2199</v>
      </c>
      <c r="G166" s="20" t="s">
        <v>760</v>
      </c>
      <c r="H166" s="20" t="s">
        <v>2200</v>
      </c>
      <c r="I166" s="20" t="s">
        <v>760</v>
      </c>
      <c r="J166" s="20" t="s">
        <v>2201</v>
      </c>
      <c r="K166" s="20" t="s">
        <v>760</v>
      </c>
      <c r="L166" s="82">
        <v>336.96</v>
      </c>
      <c r="M166" s="20" t="s">
        <v>2169</v>
      </c>
      <c r="N166" s="82">
        <v>886316.06177809997</v>
      </c>
      <c r="O166" s="20" t="s">
        <v>2202</v>
      </c>
    </row>
    <row r="167" spans="1:15" ht="26.1" customHeight="1" x14ac:dyDescent="0.2">
      <c r="A167" s="20" t="s">
        <v>2203</v>
      </c>
      <c r="B167" s="19" t="s">
        <v>31</v>
      </c>
      <c r="C167" s="19" t="s">
        <v>2204</v>
      </c>
      <c r="D167" s="19" t="s">
        <v>1317</v>
      </c>
      <c r="E167" s="21" t="s">
        <v>785</v>
      </c>
      <c r="F167" s="20" t="s">
        <v>2205</v>
      </c>
      <c r="G167" s="20" t="s">
        <v>760</v>
      </c>
      <c r="H167" s="20" t="s">
        <v>2206</v>
      </c>
      <c r="I167" s="20" t="s">
        <v>760</v>
      </c>
      <c r="J167" s="20" t="s">
        <v>2207</v>
      </c>
      <c r="K167" s="20" t="s">
        <v>760</v>
      </c>
      <c r="L167" s="82">
        <v>330.73029091199999</v>
      </c>
      <c r="M167" s="20" t="s">
        <v>2169</v>
      </c>
      <c r="N167" s="82">
        <v>886646.79206899996</v>
      </c>
      <c r="O167" s="20" t="s">
        <v>2208</v>
      </c>
    </row>
    <row r="168" spans="1:15" ht="24" customHeight="1" x14ac:dyDescent="0.2">
      <c r="A168" s="20" t="s">
        <v>824</v>
      </c>
      <c r="B168" s="19" t="s">
        <v>15</v>
      </c>
      <c r="C168" s="19" t="s">
        <v>825</v>
      </c>
      <c r="D168" s="19" t="s">
        <v>784</v>
      </c>
      <c r="E168" s="21" t="s">
        <v>785</v>
      </c>
      <c r="F168" s="20" t="s">
        <v>2209</v>
      </c>
      <c r="G168" s="20" t="s">
        <v>760</v>
      </c>
      <c r="H168" s="20" t="s">
        <v>2210</v>
      </c>
      <c r="I168" s="20" t="s">
        <v>760</v>
      </c>
      <c r="J168" s="20" t="s">
        <v>2211</v>
      </c>
      <c r="K168" s="20" t="s">
        <v>760</v>
      </c>
      <c r="L168" s="82">
        <v>330.20400000000001</v>
      </c>
      <c r="M168" s="20" t="s">
        <v>2169</v>
      </c>
      <c r="N168" s="82">
        <v>886976.99606899999</v>
      </c>
      <c r="O168" s="20" t="s">
        <v>2212</v>
      </c>
    </row>
    <row r="169" spans="1:15" ht="51.95" customHeight="1" x14ac:dyDescent="0.2">
      <c r="A169" s="20" t="s">
        <v>1083</v>
      </c>
      <c r="B169" s="19" t="s">
        <v>31</v>
      </c>
      <c r="C169" s="19" t="s">
        <v>1084</v>
      </c>
      <c r="D169" s="19" t="s">
        <v>794</v>
      </c>
      <c r="E169" s="21" t="s">
        <v>50</v>
      </c>
      <c r="F169" s="20" t="s">
        <v>2213</v>
      </c>
      <c r="G169" s="20" t="s">
        <v>760</v>
      </c>
      <c r="H169" s="20" t="s">
        <v>2214</v>
      </c>
      <c r="I169" s="20" t="s">
        <v>760</v>
      </c>
      <c r="J169" s="20" t="s">
        <v>2215</v>
      </c>
      <c r="K169" s="20" t="s">
        <v>760</v>
      </c>
      <c r="L169" s="82">
        <v>329.22539999999998</v>
      </c>
      <c r="M169" s="20" t="s">
        <v>2169</v>
      </c>
      <c r="N169" s="82">
        <v>887306.22146899998</v>
      </c>
      <c r="O169" s="20" t="s">
        <v>2216</v>
      </c>
    </row>
    <row r="170" spans="1:15" ht="26.1" customHeight="1" x14ac:dyDescent="0.2">
      <c r="A170" s="20" t="s">
        <v>1211</v>
      </c>
      <c r="B170" s="19" t="s">
        <v>15</v>
      </c>
      <c r="C170" s="19" t="s">
        <v>1212</v>
      </c>
      <c r="D170" s="19" t="s">
        <v>794</v>
      </c>
      <c r="E170" s="21" t="s">
        <v>78</v>
      </c>
      <c r="F170" s="20" t="s">
        <v>2217</v>
      </c>
      <c r="G170" s="20" t="s">
        <v>760</v>
      </c>
      <c r="H170" s="20" t="s">
        <v>2218</v>
      </c>
      <c r="I170" s="20" t="s">
        <v>760</v>
      </c>
      <c r="J170" s="20" t="s">
        <v>2219</v>
      </c>
      <c r="K170" s="20" t="s">
        <v>760</v>
      </c>
      <c r="L170" s="82">
        <v>328.95</v>
      </c>
      <c r="M170" s="20" t="s">
        <v>2169</v>
      </c>
      <c r="N170" s="82">
        <v>887635.17146900005</v>
      </c>
      <c r="O170" s="20" t="s">
        <v>2220</v>
      </c>
    </row>
    <row r="171" spans="1:15" ht="24" customHeight="1" x14ac:dyDescent="0.2">
      <c r="A171" s="20" t="s">
        <v>1324</v>
      </c>
      <c r="B171" s="19" t="s">
        <v>15</v>
      </c>
      <c r="C171" s="19" t="s">
        <v>1325</v>
      </c>
      <c r="D171" s="19" t="s">
        <v>794</v>
      </c>
      <c r="E171" s="21" t="s">
        <v>50</v>
      </c>
      <c r="F171" s="20" t="s">
        <v>2221</v>
      </c>
      <c r="G171" s="20" t="s">
        <v>760</v>
      </c>
      <c r="H171" s="20" t="s">
        <v>2222</v>
      </c>
      <c r="I171" s="20" t="s">
        <v>760</v>
      </c>
      <c r="J171" s="20" t="s">
        <v>2223</v>
      </c>
      <c r="K171" s="20" t="s">
        <v>760</v>
      </c>
      <c r="L171" s="82">
        <v>324.05577299999999</v>
      </c>
      <c r="M171" s="20" t="s">
        <v>2169</v>
      </c>
      <c r="N171" s="82">
        <v>887959.22724200005</v>
      </c>
      <c r="O171" s="20" t="s">
        <v>2224</v>
      </c>
    </row>
    <row r="172" spans="1:15" ht="39" customHeight="1" x14ac:dyDescent="0.2">
      <c r="A172" s="20" t="s">
        <v>877</v>
      </c>
      <c r="B172" s="19" t="s">
        <v>15</v>
      </c>
      <c r="C172" s="19" t="s">
        <v>878</v>
      </c>
      <c r="D172" s="19" t="s">
        <v>794</v>
      </c>
      <c r="E172" s="21" t="s">
        <v>115</v>
      </c>
      <c r="F172" s="20" t="s">
        <v>1615</v>
      </c>
      <c r="G172" s="20" t="s">
        <v>760</v>
      </c>
      <c r="H172" s="20" t="s">
        <v>2225</v>
      </c>
      <c r="I172" s="20" t="s">
        <v>760</v>
      </c>
      <c r="J172" s="20" t="s">
        <v>2225</v>
      </c>
      <c r="K172" s="20" t="s">
        <v>760</v>
      </c>
      <c r="L172" s="82">
        <v>323.17</v>
      </c>
      <c r="M172" s="20" t="s">
        <v>2169</v>
      </c>
      <c r="N172" s="82">
        <v>888282.39724199998</v>
      </c>
      <c r="O172" s="20" t="s">
        <v>2226</v>
      </c>
    </row>
    <row r="173" spans="1:15" ht="26.1" customHeight="1" x14ac:dyDescent="0.2">
      <c r="A173" s="20" t="s">
        <v>1315</v>
      </c>
      <c r="B173" s="19" t="s">
        <v>275</v>
      </c>
      <c r="C173" s="19" t="s">
        <v>1316</v>
      </c>
      <c r="D173" s="19" t="s">
        <v>1317</v>
      </c>
      <c r="E173" s="21" t="s">
        <v>785</v>
      </c>
      <c r="F173" s="20" t="s">
        <v>2227</v>
      </c>
      <c r="G173" s="20" t="s">
        <v>760</v>
      </c>
      <c r="H173" s="20" t="s">
        <v>2228</v>
      </c>
      <c r="I173" s="20" t="s">
        <v>760</v>
      </c>
      <c r="J173" s="20" t="s">
        <v>2229</v>
      </c>
      <c r="K173" s="20" t="s">
        <v>760</v>
      </c>
      <c r="L173" s="82">
        <v>318.06243000000001</v>
      </c>
      <c r="M173" s="20" t="s">
        <v>2169</v>
      </c>
      <c r="N173" s="82">
        <v>888600.45967200003</v>
      </c>
      <c r="O173" s="20" t="s">
        <v>2230</v>
      </c>
    </row>
    <row r="174" spans="1:15" ht="65.099999999999994" customHeight="1" x14ac:dyDescent="0.2">
      <c r="A174" s="20" t="s">
        <v>1276</v>
      </c>
      <c r="B174" s="19" t="s">
        <v>15</v>
      </c>
      <c r="C174" s="19" t="s">
        <v>1277</v>
      </c>
      <c r="D174" s="19" t="s">
        <v>794</v>
      </c>
      <c r="E174" s="21" t="s">
        <v>134</v>
      </c>
      <c r="F174" s="20" t="s">
        <v>2231</v>
      </c>
      <c r="G174" s="20" t="s">
        <v>760</v>
      </c>
      <c r="H174" s="20" t="s">
        <v>2218</v>
      </c>
      <c r="I174" s="20" t="s">
        <v>760</v>
      </c>
      <c r="J174" s="20" t="s">
        <v>2232</v>
      </c>
      <c r="K174" s="20" t="s">
        <v>760</v>
      </c>
      <c r="L174" s="82">
        <v>308.52499999999998</v>
      </c>
      <c r="M174" s="20" t="s">
        <v>2233</v>
      </c>
      <c r="N174" s="82">
        <v>888908.98467200005</v>
      </c>
      <c r="O174" s="20" t="s">
        <v>2234</v>
      </c>
    </row>
    <row r="175" spans="1:15" ht="26.1" customHeight="1" x14ac:dyDescent="0.2">
      <c r="A175" s="20" t="s">
        <v>1124</v>
      </c>
      <c r="B175" s="19" t="s">
        <v>275</v>
      </c>
      <c r="C175" s="19" t="s">
        <v>1125</v>
      </c>
      <c r="D175" s="19" t="s">
        <v>794</v>
      </c>
      <c r="E175" s="21" t="s">
        <v>1126</v>
      </c>
      <c r="F175" s="20" t="s">
        <v>1615</v>
      </c>
      <c r="G175" s="20" t="s">
        <v>760</v>
      </c>
      <c r="H175" s="20" t="s">
        <v>2235</v>
      </c>
      <c r="I175" s="20" t="s">
        <v>760</v>
      </c>
      <c r="J175" s="20" t="s">
        <v>2235</v>
      </c>
      <c r="K175" s="20" t="s">
        <v>760</v>
      </c>
      <c r="L175" s="82">
        <v>301.54000000000002</v>
      </c>
      <c r="M175" s="20" t="s">
        <v>2233</v>
      </c>
      <c r="N175" s="82">
        <v>889210.52467199997</v>
      </c>
      <c r="O175" s="20" t="s">
        <v>2236</v>
      </c>
    </row>
    <row r="176" spans="1:15" ht="24" customHeight="1" x14ac:dyDescent="0.2">
      <c r="A176" s="20" t="s">
        <v>826</v>
      </c>
      <c r="B176" s="19" t="s">
        <v>15</v>
      </c>
      <c r="C176" s="19" t="s">
        <v>827</v>
      </c>
      <c r="D176" s="19" t="s">
        <v>784</v>
      </c>
      <c r="E176" s="21" t="s">
        <v>785</v>
      </c>
      <c r="F176" s="20" t="s">
        <v>1836</v>
      </c>
      <c r="G176" s="20" t="s">
        <v>760</v>
      </c>
      <c r="H176" s="20" t="s">
        <v>2237</v>
      </c>
      <c r="I176" s="20" t="s">
        <v>760</v>
      </c>
      <c r="J176" s="20" t="s">
        <v>2238</v>
      </c>
      <c r="K176" s="20" t="s">
        <v>760</v>
      </c>
      <c r="L176" s="82">
        <v>298.95999999999998</v>
      </c>
      <c r="M176" s="20" t="s">
        <v>2233</v>
      </c>
      <c r="N176" s="82">
        <v>889509.48467200005</v>
      </c>
      <c r="O176" s="20" t="s">
        <v>2239</v>
      </c>
    </row>
    <row r="177" spans="1:15" ht="26.1" customHeight="1" x14ac:dyDescent="0.2">
      <c r="A177" s="20" t="s">
        <v>1197</v>
      </c>
      <c r="B177" s="19" t="s">
        <v>15</v>
      </c>
      <c r="C177" s="19" t="s">
        <v>1198</v>
      </c>
      <c r="D177" s="19" t="s">
        <v>794</v>
      </c>
      <c r="E177" s="21" t="s">
        <v>78</v>
      </c>
      <c r="F177" s="20" t="s">
        <v>2240</v>
      </c>
      <c r="G177" s="20" t="s">
        <v>760</v>
      </c>
      <c r="H177" s="20" t="s">
        <v>2241</v>
      </c>
      <c r="I177" s="20" t="s">
        <v>760</v>
      </c>
      <c r="J177" s="20" t="s">
        <v>2242</v>
      </c>
      <c r="K177" s="20" t="s">
        <v>760</v>
      </c>
      <c r="L177" s="82">
        <v>257.04000000000002</v>
      </c>
      <c r="M177" s="20" t="s">
        <v>2233</v>
      </c>
      <c r="N177" s="82">
        <v>889766.52467199997</v>
      </c>
      <c r="O177" s="20" t="s">
        <v>2243</v>
      </c>
    </row>
    <row r="178" spans="1:15" ht="24" customHeight="1" x14ac:dyDescent="0.2">
      <c r="A178" s="20" t="s">
        <v>1238</v>
      </c>
      <c r="B178" s="19" t="s">
        <v>240</v>
      </c>
      <c r="C178" s="19" t="s">
        <v>1239</v>
      </c>
      <c r="D178" s="19" t="s">
        <v>794</v>
      </c>
      <c r="E178" s="21" t="s">
        <v>32</v>
      </c>
      <c r="F178" s="20" t="s">
        <v>2029</v>
      </c>
      <c r="G178" s="20" t="s">
        <v>760</v>
      </c>
      <c r="H178" s="20" t="s">
        <v>2244</v>
      </c>
      <c r="I178" s="20" t="s">
        <v>760</v>
      </c>
      <c r="J178" s="20" t="s">
        <v>2245</v>
      </c>
      <c r="K178" s="20" t="s">
        <v>760</v>
      </c>
      <c r="L178" s="82">
        <v>241.5</v>
      </c>
      <c r="M178" s="20" t="s">
        <v>2233</v>
      </c>
      <c r="N178" s="82">
        <v>890008.02467199997</v>
      </c>
      <c r="O178" s="20" t="s">
        <v>2246</v>
      </c>
    </row>
    <row r="179" spans="1:15" ht="39" customHeight="1" x14ac:dyDescent="0.2">
      <c r="A179" s="20" t="s">
        <v>1141</v>
      </c>
      <c r="B179" s="19" t="s">
        <v>15</v>
      </c>
      <c r="C179" s="19" t="s">
        <v>1142</v>
      </c>
      <c r="D179" s="19" t="s">
        <v>794</v>
      </c>
      <c r="E179" s="21" t="s">
        <v>32</v>
      </c>
      <c r="F179" s="20" t="s">
        <v>1615</v>
      </c>
      <c r="G179" s="20" t="s">
        <v>760</v>
      </c>
      <c r="H179" s="20" t="s">
        <v>2247</v>
      </c>
      <c r="I179" s="20" t="s">
        <v>760</v>
      </c>
      <c r="J179" s="20" t="s">
        <v>2247</v>
      </c>
      <c r="K179" s="20" t="s">
        <v>760</v>
      </c>
      <c r="L179" s="82">
        <v>234.95</v>
      </c>
      <c r="M179" s="20" t="s">
        <v>2233</v>
      </c>
      <c r="N179" s="82">
        <v>890242.97467200004</v>
      </c>
      <c r="O179" s="20" t="s">
        <v>2248</v>
      </c>
    </row>
    <row r="180" spans="1:15" ht="24" customHeight="1" x14ac:dyDescent="0.2">
      <c r="A180" s="20" t="s">
        <v>1199</v>
      </c>
      <c r="B180" s="19" t="s">
        <v>15</v>
      </c>
      <c r="C180" s="19" t="s">
        <v>1200</v>
      </c>
      <c r="D180" s="19" t="s">
        <v>794</v>
      </c>
      <c r="E180" s="21" t="s">
        <v>78</v>
      </c>
      <c r="F180" s="20" t="s">
        <v>2249</v>
      </c>
      <c r="G180" s="20" t="s">
        <v>760</v>
      </c>
      <c r="H180" s="20" t="s">
        <v>2250</v>
      </c>
      <c r="I180" s="20" t="s">
        <v>760</v>
      </c>
      <c r="J180" s="20" t="s">
        <v>2251</v>
      </c>
      <c r="K180" s="20" t="s">
        <v>760</v>
      </c>
      <c r="L180" s="82">
        <v>234.72669999999999</v>
      </c>
      <c r="M180" s="20" t="s">
        <v>2233</v>
      </c>
      <c r="N180" s="82">
        <v>890477.70137200004</v>
      </c>
      <c r="O180" s="20" t="s">
        <v>2252</v>
      </c>
    </row>
    <row r="181" spans="1:15" ht="26.1" customHeight="1" x14ac:dyDescent="0.2">
      <c r="A181" s="20" t="s">
        <v>2253</v>
      </c>
      <c r="B181" s="19" t="s">
        <v>31</v>
      </c>
      <c r="C181" s="19" t="s">
        <v>2254</v>
      </c>
      <c r="D181" s="19" t="s">
        <v>1317</v>
      </c>
      <c r="E181" s="21" t="s">
        <v>785</v>
      </c>
      <c r="F181" s="20" t="s">
        <v>2255</v>
      </c>
      <c r="G181" s="20" t="s">
        <v>760</v>
      </c>
      <c r="H181" s="20" t="s">
        <v>2256</v>
      </c>
      <c r="I181" s="20" t="s">
        <v>760</v>
      </c>
      <c r="J181" s="20" t="s">
        <v>2257</v>
      </c>
      <c r="K181" s="20" t="s">
        <v>760</v>
      </c>
      <c r="L181" s="82">
        <v>224.13586206599999</v>
      </c>
      <c r="M181" s="20" t="s">
        <v>2233</v>
      </c>
      <c r="N181" s="82">
        <v>890701.83723409998</v>
      </c>
      <c r="O181" s="20" t="s">
        <v>2258</v>
      </c>
    </row>
    <row r="182" spans="1:15" ht="39" customHeight="1" x14ac:dyDescent="0.2">
      <c r="A182" s="20" t="s">
        <v>1264</v>
      </c>
      <c r="B182" s="19" t="s">
        <v>15</v>
      </c>
      <c r="C182" s="19" t="s">
        <v>1265</v>
      </c>
      <c r="D182" s="19" t="s">
        <v>794</v>
      </c>
      <c r="E182" s="21" t="s">
        <v>32</v>
      </c>
      <c r="F182" s="20" t="s">
        <v>1924</v>
      </c>
      <c r="G182" s="20" t="s">
        <v>760</v>
      </c>
      <c r="H182" s="20" t="s">
        <v>2259</v>
      </c>
      <c r="I182" s="20" t="s">
        <v>760</v>
      </c>
      <c r="J182" s="20" t="s">
        <v>2260</v>
      </c>
      <c r="K182" s="20" t="s">
        <v>760</v>
      </c>
      <c r="L182" s="82">
        <v>223.5</v>
      </c>
      <c r="M182" s="20" t="s">
        <v>2261</v>
      </c>
      <c r="N182" s="82">
        <v>890925.33723409998</v>
      </c>
      <c r="O182" s="20" t="s">
        <v>2262</v>
      </c>
    </row>
    <row r="183" spans="1:15" ht="26.1" customHeight="1" x14ac:dyDescent="0.2">
      <c r="A183" s="20" t="s">
        <v>1032</v>
      </c>
      <c r="B183" s="19" t="s">
        <v>15</v>
      </c>
      <c r="C183" s="19" t="s">
        <v>1033</v>
      </c>
      <c r="D183" s="19" t="s">
        <v>794</v>
      </c>
      <c r="E183" s="21" t="s">
        <v>78</v>
      </c>
      <c r="F183" s="20" t="s">
        <v>2263</v>
      </c>
      <c r="G183" s="20" t="s">
        <v>760</v>
      </c>
      <c r="H183" s="20" t="s">
        <v>2264</v>
      </c>
      <c r="I183" s="20" t="s">
        <v>760</v>
      </c>
      <c r="J183" s="20" t="s">
        <v>2265</v>
      </c>
      <c r="K183" s="20" t="s">
        <v>760</v>
      </c>
      <c r="L183" s="82">
        <v>221.85</v>
      </c>
      <c r="M183" s="20" t="s">
        <v>2261</v>
      </c>
      <c r="N183" s="82">
        <v>891147.18723409995</v>
      </c>
      <c r="O183" s="20" t="s">
        <v>2266</v>
      </c>
    </row>
    <row r="184" spans="1:15" ht="24" customHeight="1" x14ac:dyDescent="0.2">
      <c r="A184" s="20" t="s">
        <v>1311</v>
      </c>
      <c r="B184" s="19" t="s">
        <v>275</v>
      </c>
      <c r="C184" s="19" t="s">
        <v>1312</v>
      </c>
      <c r="D184" s="19" t="s">
        <v>794</v>
      </c>
      <c r="E184" s="21" t="s">
        <v>50</v>
      </c>
      <c r="F184" s="20" t="s">
        <v>2267</v>
      </c>
      <c r="G184" s="20" t="s">
        <v>760</v>
      </c>
      <c r="H184" s="20" t="s">
        <v>1581</v>
      </c>
      <c r="I184" s="20" t="s">
        <v>760</v>
      </c>
      <c r="J184" s="20" t="s">
        <v>2268</v>
      </c>
      <c r="K184" s="20" t="s">
        <v>760</v>
      </c>
      <c r="L184" s="82">
        <v>204.14834999999999</v>
      </c>
      <c r="M184" s="20" t="s">
        <v>2261</v>
      </c>
      <c r="N184" s="82">
        <v>891351.33558409999</v>
      </c>
      <c r="O184" s="20" t="s">
        <v>2269</v>
      </c>
    </row>
    <row r="185" spans="1:15" ht="26.1" customHeight="1" x14ac:dyDescent="0.2">
      <c r="A185" s="20" t="s">
        <v>2270</v>
      </c>
      <c r="B185" s="19" t="s">
        <v>31</v>
      </c>
      <c r="C185" s="19" t="s">
        <v>2271</v>
      </c>
      <c r="D185" s="19" t="s">
        <v>1317</v>
      </c>
      <c r="E185" s="21" t="s">
        <v>785</v>
      </c>
      <c r="F185" s="20" t="s">
        <v>2205</v>
      </c>
      <c r="G185" s="20" t="s">
        <v>760</v>
      </c>
      <c r="H185" s="20" t="s">
        <v>2272</v>
      </c>
      <c r="I185" s="20" t="s">
        <v>760</v>
      </c>
      <c r="J185" s="20" t="s">
        <v>2273</v>
      </c>
      <c r="K185" s="20" t="s">
        <v>760</v>
      </c>
      <c r="L185" s="82">
        <v>196.86326840000001</v>
      </c>
      <c r="M185" s="20" t="s">
        <v>2261</v>
      </c>
      <c r="N185" s="82">
        <v>891548.19885249995</v>
      </c>
      <c r="O185" s="20" t="s">
        <v>2274</v>
      </c>
    </row>
    <row r="186" spans="1:15" ht="24" customHeight="1" x14ac:dyDescent="0.2">
      <c r="A186" s="20" t="s">
        <v>1030</v>
      </c>
      <c r="B186" s="19" t="s">
        <v>15</v>
      </c>
      <c r="C186" s="19" t="s">
        <v>1031</v>
      </c>
      <c r="D186" s="19" t="s">
        <v>794</v>
      </c>
      <c r="E186" s="21" t="s">
        <v>32</v>
      </c>
      <c r="F186" s="20" t="s">
        <v>1836</v>
      </c>
      <c r="G186" s="20" t="s">
        <v>760</v>
      </c>
      <c r="H186" s="20" t="s">
        <v>2275</v>
      </c>
      <c r="I186" s="20" t="s">
        <v>760</v>
      </c>
      <c r="J186" s="20" t="s">
        <v>2276</v>
      </c>
      <c r="K186" s="20" t="s">
        <v>760</v>
      </c>
      <c r="L186" s="82">
        <v>194.32</v>
      </c>
      <c r="M186" s="20" t="s">
        <v>2261</v>
      </c>
      <c r="N186" s="82">
        <v>891742.51885250001</v>
      </c>
      <c r="O186" s="20" t="s">
        <v>2277</v>
      </c>
    </row>
    <row r="187" spans="1:15" ht="26.1" customHeight="1" x14ac:dyDescent="0.2">
      <c r="A187" s="20" t="s">
        <v>2278</v>
      </c>
      <c r="B187" s="19" t="s">
        <v>31</v>
      </c>
      <c r="C187" s="19" t="s">
        <v>2279</v>
      </c>
      <c r="D187" s="19" t="s">
        <v>794</v>
      </c>
      <c r="E187" s="21" t="s">
        <v>32</v>
      </c>
      <c r="F187" s="20" t="s">
        <v>2280</v>
      </c>
      <c r="G187" s="20" t="s">
        <v>760</v>
      </c>
      <c r="H187" s="20" t="s">
        <v>2281</v>
      </c>
      <c r="I187" s="20" t="s">
        <v>760</v>
      </c>
      <c r="J187" s="20" t="s">
        <v>2282</v>
      </c>
      <c r="K187" s="20" t="s">
        <v>760</v>
      </c>
      <c r="L187" s="82">
        <v>192.394047132</v>
      </c>
      <c r="M187" s="20" t="s">
        <v>2261</v>
      </c>
      <c r="N187" s="82">
        <v>891934.91289959999</v>
      </c>
      <c r="O187" s="20" t="s">
        <v>2283</v>
      </c>
    </row>
    <row r="188" spans="1:15" ht="39" customHeight="1" x14ac:dyDescent="0.2">
      <c r="A188" s="20" t="s">
        <v>1193</v>
      </c>
      <c r="B188" s="19" t="s">
        <v>15</v>
      </c>
      <c r="C188" s="19" t="s">
        <v>1194</v>
      </c>
      <c r="D188" s="19" t="s">
        <v>794</v>
      </c>
      <c r="E188" s="21" t="s">
        <v>32</v>
      </c>
      <c r="F188" s="20" t="s">
        <v>1836</v>
      </c>
      <c r="G188" s="20" t="s">
        <v>760</v>
      </c>
      <c r="H188" s="20" t="s">
        <v>2284</v>
      </c>
      <c r="I188" s="20" t="s">
        <v>760</v>
      </c>
      <c r="J188" s="20" t="s">
        <v>2285</v>
      </c>
      <c r="K188" s="20" t="s">
        <v>760</v>
      </c>
      <c r="L188" s="82">
        <v>189.74</v>
      </c>
      <c r="M188" s="20" t="s">
        <v>2261</v>
      </c>
      <c r="N188" s="82">
        <v>892124.65289959998</v>
      </c>
      <c r="O188" s="20" t="s">
        <v>2286</v>
      </c>
    </row>
    <row r="189" spans="1:15" ht="39" customHeight="1" x14ac:dyDescent="0.2">
      <c r="A189" s="20" t="s">
        <v>903</v>
      </c>
      <c r="B189" s="19" t="s">
        <v>15</v>
      </c>
      <c r="C189" s="19" t="s">
        <v>904</v>
      </c>
      <c r="D189" s="19" t="s">
        <v>794</v>
      </c>
      <c r="E189" s="21" t="s">
        <v>720</v>
      </c>
      <c r="F189" s="20" t="s">
        <v>2287</v>
      </c>
      <c r="G189" s="20" t="s">
        <v>760</v>
      </c>
      <c r="H189" s="20" t="s">
        <v>2288</v>
      </c>
      <c r="I189" s="20" t="s">
        <v>760</v>
      </c>
      <c r="J189" s="20" t="s">
        <v>2289</v>
      </c>
      <c r="K189" s="20" t="s">
        <v>760</v>
      </c>
      <c r="L189" s="82">
        <v>178.12162000000001</v>
      </c>
      <c r="M189" s="20" t="s">
        <v>2261</v>
      </c>
      <c r="N189" s="82">
        <v>892302.77451959997</v>
      </c>
      <c r="O189" s="20" t="s">
        <v>2290</v>
      </c>
    </row>
    <row r="190" spans="1:15" ht="26.1" customHeight="1" x14ac:dyDescent="0.2">
      <c r="A190" s="20" t="s">
        <v>935</v>
      </c>
      <c r="B190" s="19" t="s">
        <v>15</v>
      </c>
      <c r="C190" s="19" t="s">
        <v>936</v>
      </c>
      <c r="D190" s="19" t="s">
        <v>794</v>
      </c>
      <c r="E190" s="21" t="s">
        <v>78</v>
      </c>
      <c r="F190" s="20" t="s">
        <v>2291</v>
      </c>
      <c r="G190" s="20" t="s">
        <v>760</v>
      </c>
      <c r="H190" s="20" t="s">
        <v>2292</v>
      </c>
      <c r="I190" s="20" t="s">
        <v>760</v>
      </c>
      <c r="J190" s="20" t="s">
        <v>2293</v>
      </c>
      <c r="K190" s="20" t="s">
        <v>760</v>
      </c>
      <c r="L190" s="82">
        <v>163.61095968000001</v>
      </c>
      <c r="M190" s="20" t="s">
        <v>2261</v>
      </c>
      <c r="N190" s="82">
        <v>892466.38547930005</v>
      </c>
      <c r="O190" s="20" t="s">
        <v>2294</v>
      </c>
    </row>
    <row r="191" spans="1:15" ht="24" customHeight="1" x14ac:dyDescent="0.2">
      <c r="A191" s="20" t="s">
        <v>1116</v>
      </c>
      <c r="B191" s="19" t="s">
        <v>31</v>
      </c>
      <c r="C191" s="19" t="s">
        <v>1117</v>
      </c>
      <c r="D191" s="19" t="s">
        <v>794</v>
      </c>
      <c r="E191" s="21" t="s">
        <v>5</v>
      </c>
      <c r="F191" s="20" t="s">
        <v>2295</v>
      </c>
      <c r="G191" s="20" t="s">
        <v>760</v>
      </c>
      <c r="H191" s="20" t="s">
        <v>2296</v>
      </c>
      <c r="I191" s="20" t="s">
        <v>760</v>
      </c>
      <c r="J191" s="20" t="s">
        <v>2297</v>
      </c>
      <c r="K191" s="20" t="s">
        <v>760</v>
      </c>
      <c r="L191" s="82">
        <v>159.53039999999999</v>
      </c>
      <c r="M191" s="20" t="s">
        <v>2261</v>
      </c>
      <c r="N191" s="82">
        <v>892625.91587929998</v>
      </c>
      <c r="O191" s="20" t="s">
        <v>2298</v>
      </c>
    </row>
    <row r="192" spans="1:15" ht="24" customHeight="1" x14ac:dyDescent="0.2">
      <c r="A192" s="20" t="s">
        <v>2299</v>
      </c>
      <c r="B192" s="19" t="s">
        <v>31</v>
      </c>
      <c r="C192" s="19" t="s">
        <v>2300</v>
      </c>
      <c r="D192" s="19" t="s">
        <v>784</v>
      </c>
      <c r="E192" s="21" t="s">
        <v>785</v>
      </c>
      <c r="F192" s="20" t="s">
        <v>2301</v>
      </c>
      <c r="G192" s="20" t="s">
        <v>760</v>
      </c>
      <c r="H192" s="20" t="s">
        <v>2302</v>
      </c>
      <c r="I192" s="20" t="s">
        <v>760</v>
      </c>
      <c r="J192" s="20" t="s">
        <v>2303</v>
      </c>
      <c r="K192" s="20" t="s">
        <v>760</v>
      </c>
      <c r="L192" s="82">
        <v>151.1494155</v>
      </c>
      <c r="M192" s="20" t="s">
        <v>2261</v>
      </c>
      <c r="N192" s="82">
        <v>892777.06529479998</v>
      </c>
      <c r="O192" s="20" t="s">
        <v>2304</v>
      </c>
    </row>
    <row r="193" spans="1:15" ht="26.1" customHeight="1" x14ac:dyDescent="0.2">
      <c r="A193" s="20" t="s">
        <v>1034</v>
      </c>
      <c r="B193" s="19" t="s">
        <v>15</v>
      </c>
      <c r="C193" s="19" t="s">
        <v>1035</v>
      </c>
      <c r="D193" s="19" t="s">
        <v>794</v>
      </c>
      <c r="E193" s="21" t="s">
        <v>78</v>
      </c>
      <c r="F193" s="20" t="s">
        <v>2305</v>
      </c>
      <c r="G193" s="20" t="s">
        <v>760</v>
      </c>
      <c r="H193" s="20" t="s">
        <v>2306</v>
      </c>
      <c r="I193" s="20" t="s">
        <v>760</v>
      </c>
      <c r="J193" s="20" t="s">
        <v>2307</v>
      </c>
      <c r="K193" s="20" t="s">
        <v>760</v>
      </c>
      <c r="L193" s="82">
        <v>138.77600000000001</v>
      </c>
      <c r="M193" s="20" t="s">
        <v>2261</v>
      </c>
      <c r="N193" s="82">
        <v>892915.84129480005</v>
      </c>
      <c r="O193" s="20" t="s">
        <v>2308</v>
      </c>
    </row>
    <row r="194" spans="1:15" ht="24" customHeight="1" x14ac:dyDescent="0.2">
      <c r="A194" s="20" t="s">
        <v>1042</v>
      </c>
      <c r="B194" s="19" t="s">
        <v>15</v>
      </c>
      <c r="C194" s="19" t="s">
        <v>1043</v>
      </c>
      <c r="D194" s="19" t="s">
        <v>794</v>
      </c>
      <c r="E194" s="21" t="s">
        <v>32</v>
      </c>
      <c r="F194" s="20" t="s">
        <v>1836</v>
      </c>
      <c r="G194" s="20" t="s">
        <v>760</v>
      </c>
      <c r="H194" s="20" t="s">
        <v>2309</v>
      </c>
      <c r="I194" s="20" t="s">
        <v>760</v>
      </c>
      <c r="J194" s="20" t="s">
        <v>2310</v>
      </c>
      <c r="K194" s="20" t="s">
        <v>760</v>
      </c>
      <c r="L194" s="82">
        <v>136.72</v>
      </c>
      <c r="M194" s="20" t="s">
        <v>2261</v>
      </c>
      <c r="N194" s="82">
        <v>893052.56129480002</v>
      </c>
      <c r="O194" s="20" t="s">
        <v>2311</v>
      </c>
    </row>
    <row r="195" spans="1:15" ht="26.1" customHeight="1" x14ac:dyDescent="0.2">
      <c r="A195" s="20" t="s">
        <v>1038</v>
      </c>
      <c r="B195" s="19" t="s">
        <v>15</v>
      </c>
      <c r="C195" s="19" t="s">
        <v>1039</v>
      </c>
      <c r="D195" s="19" t="s">
        <v>794</v>
      </c>
      <c r="E195" s="21" t="s">
        <v>32</v>
      </c>
      <c r="F195" s="20" t="s">
        <v>1615</v>
      </c>
      <c r="G195" s="20" t="s">
        <v>760</v>
      </c>
      <c r="H195" s="20" t="s">
        <v>2312</v>
      </c>
      <c r="I195" s="20" t="s">
        <v>760</v>
      </c>
      <c r="J195" s="20" t="s">
        <v>2312</v>
      </c>
      <c r="K195" s="20" t="s">
        <v>760</v>
      </c>
      <c r="L195" s="82">
        <v>126.52</v>
      </c>
      <c r="M195" s="20" t="s">
        <v>2313</v>
      </c>
      <c r="N195" s="82">
        <v>893179.08129480004</v>
      </c>
      <c r="O195" s="20" t="s">
        <v>2314</v>
      </c>
    </row>
    <row r="196" spans="1:15" ht="24" customHeight="1" x14ac:dyDescent="0.2">
      <c r="A196" s="20" t="s">
        <v>929</v>
      </c>
      <c r="B196" s="19" t="s">
        <v>15</v>
      </c>
      <c r="C196" s="19" t="s">
        <v>930</v>
      </c>
      <c r="D196" s="19" t="s">
        <v>784</v>
      </c>
      <c r="E196" s="21" t="s">
        <v>785</v>
      </c>
      <c r="F196" s="20" t="s">
        <v>2315</v>
      </c>
      <c r="G196" s="20" t="s">
        <v>760</v>
      </c>
      <c r="H196" s="20" t="s">
        <v>1665</v>
      </c>
      <c r="I196" s="20" t="s">
        <v>760</v>
      </c>
      <c r="J196" s="20" t="s">
        <v>2316</v>
      </c>
      <c r="K196" s="20" t="s">
        <v>760</v>
      </c>
      <c r="L196" s="82">
        <v>121.90560000000001</v>
      </c>
      <c r="M196" s="20" t="s">
        <v>2313</v>
      </c>
      <c r="N196" s="82">
        <v>893300.98689479998</v>
      </c>
      <c r="O196" s="20" t="s">
        <v>2317</v>
      </c>
    </row>
    <row r="197" spans="1:15" ht="24" customHeight="1" x14ac:dyDescent="0.2">
      <c r="A197" s="20" t="s">
        <v>1175</v>
      </c>
      <c r="B197" s="19" t="s">
        <v>327</v>
      </c>
      <c r="C197" s="19" t="s">
        <v>1176</v>
      </c>
      <c r="D197" s="19" t="s">
        <v>794</v>
      </c>
      <c r="E197" s="21" t="s">
        <v>32</v>
      </c>
      <c r="F197" s="20" t="s">
        <v>2199</v>
      </c>
      <c r="G197" s="20" t="s">
        <v>760</v>
      </c>
      <c r="H197" s="20" t="s">
        <v>2318</v>
      </c>
      <c r="I197" s="20" t="s">
        <v>760</v>
      </c>
      <c r="J197" s="20" t="s">
        <v>2319</v>
      </c>
      <c r="K197" s="20" t="s">
        <v>760</v>
      </c>
      <c r="L197" s="82">
        <v>111.84</v>
      </c>
      <c r="M197" s="20" t="s">
        <v>2313</v>
      </c>
      <c r="N197" s="82">
        <v>893412.82689479995</v>
      </c>
      <c r="O197" s="20" t="s">
        <v>2320</v>
      </c>
    </row>
    <row r="198" spans="1:15" ht="24" customHeight="1" x14ac:dyDescent="0.2">
      <c r="A198" s="20" t="s">
        <v>2321</v>
      </c>
      <c r="B198" s="19" t="s">
        <v>31</v>
      </c>
      <c r="C198" s="19" t="s">
        <v>2322</v>
      </c>
      <c r="D198" s="19" t="s">
        <v>784</v>
      </c>
      <c r="E198" s="21" t="s">
        <v>785</v>
      </c>
      <c r="F198" s="20" t="s">
        <v>2323</v>
      </c>
      <c r="G198" s="20" t="s">
        <v>760</v>
      </c>
      <c r="H198" s="20" t="s">
        <v>2324</v>
      </c>
      <c r="I198" s="20" t="s">
        <v>760</v>
      </c>
      <c r="J198" s="20" t="s">
        <v>2325</v>
      </c>
      <c r="K198" s="20" t="s">
        <v>760</v>
      </c>
      <c r="L198" s="82">
        <v>109.194299693</v>
      </c>
      <c r="M198" s="20" t="s">
        <v>2313</v>
      </c>
      <c r="N198" s="82">
        <v>893522.02119450003</v>
      </c>
      <c r="O198" s="20" t="s">
        <v>2326</v>
      </c>
    </row>
    <row r="199" spans="1:15" ht="24" customHeight="1" x14ac:dyDescent="0.2">
      <c r="A199" s="20" t="s">
        <v>993</v>
      </c>
      <c r="B199" s="19" t="s">
        <v>15</v>
      </c>
      <c r="C199" s="19" t="s">
        <v>994</v>
      </c>
      <c r="D199" s="19" t="s">
        <v>794</v>
      </c>
      <c r="E199" s="21" t="s">
        <v>720</v>
      </c>
      <c r="F199" s="20" t="s">
        <v>2327</v>
      </c>
      <c r="G199" s="20" t="s">
        <v>760</v>
      </c>
      <c r="H199" s="20" t="s">
        <v>2328</v>
      </c>
      <c r="I199" s="20" t="s">
        <v>760</v>
      </c>
      <c r="J199" s="20" t="s">
        <v>2329</v>
      </c>
      <c r="K199" s="20" t="s">
        <v>760</v>
      </c>
      <c r="L199" s="82">
        <v>108.20425</v>
      </c>
      <c r="M199" s="20" t="s">
        <v>2313</v>
      </c>
      <c r="N199" s="82">
        <v>893630.22544449999</v>
      </c>
      <c r="O199" s="20" t="s">
        <v>2330</v>
      </c>
    </row>
    <row r="200" spans="1:15" ht="24" customHeight="1" x14ac:dyDescent="0.2">
      <c r="A200" s="20" t="s">
        <v>1131</v>
      </c>
      <c r="B200" s="19" t="s">
        <v>15</v>
      </c>
      <c r="C200" s="19" t="s">
        <v>1132</v>
      </c>
      <c r="D200" s="19" t="s">
        <v>784</v>
      </c>
      <c r="E200" s="21" t="s">
        <v>785</v>
      </c>
      <c r="F200" s="20" t="s">
        <v>2331</v>
      </c>
      <c r="G200" s="20" t="s">
        <v>760</v>
      </c>
      <c r="H200" s="20" t="s">
        <v>1665</v>
      </c>
      <c r="I200" s="20" t="s">
        <v>760</v>
      </c>
      <c r="J200" s="20" t="s">
        <v>2332</v>
      </c>
      <c r="K200" s="20" t="s">
        <v>760</v>
      </c>
      <c r="L200" s="82">
        <v>108.00271103999999</v>
      </c>
      <c r="M200" s="20" t="s">
        <v>2313</v>
      </c>
      <c r="N200" s="82">
        <v>893738.22815550002</v>
      </c>
      <c r="O200" s="20" t="s">
        <v>2333</v>
      </c>
    </row>
    <row r="201" spans="1:15" ht="26.1" customHeight="1" x14ac:dyDescent="0.2">
      <c r="A201" s="20" t="s">
        <v>991</v>
      </c>
      <c r="B201" s="19" t="s">
        <v>15</v>
      </c>
      <c r="C201" s="19" t="s">
        <v>992</v>
      </c>
      <c r="D201" s="19" t="s">
        <v>794</v>
      </c>
      <c r="E201" s="21" t="s">
        <v>32</v>
      </c>
      <c r="F201" s="20" t="s">
        <v>2334</v>
      </c>
      <c r="G201" s="20" t="s">
        <v>760</v>
      </c>
      <c r="H201" s="20" t="s">
        <v>2335</v>
      </c>
      <c r="I201" s="20" t="s">
        <v>760</v>
      </c>
      <c r="J201" s="20" t="s">
        <v>2336</v>
      </c>
      <c r="K201" s="20" t="s">
        <v>760</v>
      </c>
      <c r="L201" s="82">
        <v>98.443879999999993</v>
      </c>
      <c r="M201" s="20" t="s">
        <v>2313</v>
      </c>
      <c r="N201" s="82">
        <v>893836.67203550006</v>
      </c>
      <c r="O201" s="20" t="s">
        <v>2337</v>
      </c>
    </row>
    <row r="202" spans="1:15" ht="26.1" customHeight="1" x14ac:dyDescent="0.2">
      <c r="A202" s="20" t="s">
        <v>2338</v>
      </c>
      <c r="B202" s="19" t="s">
        <v>31</v>
      </c>
      <c r="C202" s="19" t="s">
        <v>2339</v>
      </c>
      <c r="D202" s="19" t="s">
        <v>1317</v>
      </c>
      <c r="E202" s="21" t="s">
        <v>785</v>
      </c>
      <c r="F202" s="20" t="s">
        <v>2255</v>
      </c>
      <c r="G202" s="20" t="s">
        <v>760</v>
      </c>
      <c r="H202" s="20" t="s">
        <v>2340</v>
      </c>
      <c r="I202" s="20" t="s">
        <v>760</v>
      </c>
      <c r="J202" s="20" t="s">
        <v>2341</v>
      </c>
      <c r="K202" s="20" t="s">
        <v>760</v>
      </c>
      <c r="L202" s="82">
        <v>97.668141012000007</v>
      </c>
      <c r="M202" s="20" t="s">
        <v>2313</v>
      </c>
      <c r="N202" s="82">
        <v>893934.34017650003</v>
      </c>
      <c r="O202" s="20" t="s">
        <v>2342</v>
      </c>
    </row>
    <row r="203" spans="1:15" ht="24" customHeight="1" x14ac:dyDescent="0.2">
      <c r="A203" s="20" t="s">
        <v>1005</v>
      </c>
      <c r="B203" s="19" t="s">
        <v>15</v>
      </c>
      <c r="C203" s="19" t="s">
        <v>1006</v>
      </c>
      <c r="D203" s="19" t="s">
        <v>794</v>
      </c>
      <c r="E203" s="21" t="s">
        <v>32</v>
      </c>
      <c r="F203" s="20" t="s">
        <v>2132</v>
      </c>
      <c r="G203" s="20" t="s">
        <v>760</v>
      </c>
      <c r="H203" s="20" t="s">
        <v>2343</v>
      </c>
      <c r="I203" s="20" t="s">
        <v>760</v>
      </c>
      <c r="J203" s="20" t="s">
        <v>2344</v>
      </c>
      <c r="K203" s="20" t="s">
        <v>760</v>
      </c>
      <c r="L203" s="82">
        <v>95.94</v>
      </c>
      <c r="M203" s="20" t="s">
        <v>2313</v>
      </c>
      <c r="N203" s="82">
        <v>894030.28017649997</v>
      </c>
      <c r="O203" s="20" t="s">
        <v>2345</v>
      </c>
    </row>
    <row r="204" spans="1:15" ht="39" customHeight="1" x14ac:dyDescent="0.2">
      <c r="A204" s="20" t="s">
        <v>1129</v>
      </c>
      <c r="B204" s="19" t="s">
        <v>15</v>
      </c>
      <c r="C204" s="19" t="s">
        <v>1130</v>
      </c>
      <c r="D204" s="19" t="s">
        <v>794</v>
      </c>
      <c r="E204" s="21" t="s">
        <v>32</v>
      </c>
      <c r="F204" s="20" t="s">
        <v>1615</v>
      </c>
      <c r="G204" s="20" t="s">
        <v>760</v>
      </c>
      <c r="H204" s="20" t="s">
        <v>2346</v>
      </c>
      <c r="I204" s="20" t="s">
        <v>760</v>
      </c>
      <c r="J204" s="20" t="s">
        <v>2346</v>
      </c>
      <c r="K204" s="20" t="s">
        <v>760</v>
      </c>
      <c r="L204" s="82">
        <v>88.64</v>
      </c>
      <c r="M204" s="20" t="s">
        <v>2313</v>
      </c>
      <c r="N204" s="82">
        <v>894118.92017649999</v>
      </c>
      <c r="O204" s="20" t="s">
        <v>2347</v>
      </c>
    </row>
    <row r="205" spans="1:15" ht="26.1" customHeight="1" x14ac:dyDescent="0.2">
      <c r="A205" s="20" t="s">
        <v>1148</v>
      </c>
      <c r="B205" s="19" t="s">
        <v>31</v>
      </c>
      <c r="C205" s="19" t="s">
        <v>1149</v>
      </c>
      <c r="D205" s="19" t="s">
        <v>794</v>
      </c>
      <c r="E205" s="21" t="s">
        <v>78</v>
      </c>
      <c r="F205" s="20" t="s">
        <v>2348</v>
      </c>
      <c r="G205" s="20" t="s">
        <v>760</v>
      </c>
      <c r="H205" s="20" t="s">
        <v>2349</v>
      </c>
      <c r="I205" s="20" t="s">
        <v>760</v>
      </c>
      <c r="J205" s="20" t="s">
        <v>2350</v>
      </c>
      <c r="K205" s="20" t="s">
        <v>760</v>
      </c>
      <c r="L205" s="82">
        <v>86.586191999999997</v>
      </c>
      <c r="M205" s="20" t="s">
        <v>2313</v>
      </c>
      <c r="N205" s="82">
        <v>894205.50636849995</v>
      </c>
      <c r="O205" s="20" t="s">
        <v>2351</v>
      </c>
    </row>
    <row r="206" spans="1:15" ht="39" customHeight="1" x14ac:dyDescent="0.2">
      <c r="A206" s="20" t="s">
        <v>1230</v>
      </c>
      <c r="B206" s="19" t="s">
        <v>240</v>
      </c>
      <c r="C206" s="19" t="s">
        <v>1231</v>
      </c>
      <c r="D206" s="19" t="s">
        <v>794</v>
      </c>
      <c r="E206" s="21" t="s">
        <v>32</v>
      </c>
      <c r="F206" s="20" t="s">
        <v>1749</v>
      </c>
      <c r="G206" s="20" t="s">
        <v>760</v>
      </c>
      <c r="H206" s="20" t="s">
        <v>2352</v>
      </c>
      <c r="I206" s="20" t="s">
        <v>760</v>
      </c>
      <c r="J206" s="20" t="s">
        <v>2353</v>
      </c>
      <c r="K206" s="20" t="s">
        <v>760</v>
      </c>
      <c r="L206" s="82">
        <v>86.16</v>
      </c>
      <c r="M206" s="20" t="s">
        <v>2313</v>
      </c>
      <c r="N206" s="82">
        <v>894291.66636849998</v>
      </c>
      <c r="O206" s="20" t="s">
        <v>2354</v>
      </c>
    </row>
    <row r="207" spans="1:15" ht="26.1" customHeight="1" x14ac:dyDescent="0.2">
      <c r="A207" s="20" t="s">
        <v>1221</v>
      </c>
      <c r="B207" s="19" t="s">
        <v>15</v>
      </c>
      <c r="C207" s="19" t="s">
        <v>1222</v>
      </c>
      <c r="D207" s="19" t="s">
        <v>794</v>
      </c>
      <c r="E207" s="21" t="s">
        <v>32</v>
      </c>
      <c r="F207" s="20" t="s">
        <v>1615</v>
      </c>
      <c r="G207" s="20" t="s">
        <v>760</v>
      </c>
      <c r="H207" s="20" t="s">
        <v>2355</v>
      </c>
      <c r="I207" s="20" t="s">
        <v>760</v>
      </c>
      <c r="J207" s="20" t="s">
        <v>2355</v>
      </c>
      <c r="K207" s="20" t="s">
        <v>760</v>
      </c>
      <c r="L207" s="82">
        <v>84.23</v>
      </c>
      <c r="M207" s="20" t="s">
        <v>2313</v>
      </c>
      <c r="N207" s="82">
        <v>894375.89636849996</v>
      </c>
      <c r="O207" s="20" t="s">
        <v>2356</v>
      </c>
    </row>
    <row r="208" spans="1:15" ht="24" customHeight="1" x14ac:dyDescent="0.2">
      <c r="A208" s="20" t="s">
        <v>1160</v>
      </c>
      <c r="B208" s="19" t="s">
        <v>327</v>
      </c>
      <c r="C208" s="19" t="s">
        <v>1029</v>
      </c>
      <c r="D208" s="19" t="s">
        <v>784</v>
      </c>
      <c r="E208" s="21" t="s">
        <v>785</v>
      </c>
      <c r="F208" s="20" t="s">
        <v>2357</v>
      </c>
      <c r="G208" s="20" t="s">
        <v>760</v>
      </c>
      <c r="H208" s="20" t="s">
        <v>2358</v>
      </c>
      <c r="I208" s="20" t="s">
        <v>760</v>
      </c>
      <c r="J208" s="20" t="s">
        <v>2359</v>
      </c>
      <c r="K208" s="20" t="s">
        <v>760</v>
      </c>
      <c r="L208" s="82">
        <v>82.304323199999999</v>
      </c>
      <c r="M208" s="20" t="s">
        <v>2313</v>
      </c>
      <c r="N208" s="82">
        <v>894458.20069169998</v>
      </c>
      <c r="O208" s="20" t="s">
        <v>2360</v>
      </c>
    </row>
    <row r="209" spans="1:15" ht="26.1" customHeight="1" x14ac:dyDescent="0.2">
      <c r="A209" s="20" t="s">
        <v>1195</v>
      </c>
      <c r="B209" s="19" t="s">
        <v>15</v>
      </c>
      <c r="C209" s="19" t="s">
        <v>1196</v>
      </c>
      <c r="D209" s="19" t="s">
        <v>794</v>
      </c>
      <c r="E209" s="21" t="s">
        <v>78</v>
      </c>
      <c r="F209" s="20" t="s">
        <v>2361</v>
      </c>
      <c r="G209" s="20" t="s">
        <v>760</v>
      </c>
      <c r="H209" s="20" t="s">
        <v>2362</v>
      </c>
      <c r="I209" s="20" t="s">
        <v>760</v>
      </c>
      <c r="J209" s="20" t="s">
        <v>2363</v>
      </c>
      <c r="K209" s="20" t="s">
        <v>760</v>
      </c>
      <c r="L209" s="82">
        <v>81.112499999999997</v>
      </c>
      <c r="M209" s="20" t="s">
        <v>2313</v>
      </c>
      <c r="N209" s="82">
        <v>894539.31319170003</v>
      </c>
      <c r="O209" s="20" t="s">
        <v>2364</v>
      </c>
    </row>
    <row r="210" spans="1:15" ht="26.1" customHeight="1" x14ac:dyDescent="0.2">
      <c r="A210" s="20" t="s">
        <v>1215</v>
      </c>
      <c r="B210" s="19" t="s">
        <v>15</v>
      </c>
      <c r="C210" s="19" t="s">
        <v>1216</v>
      </c>
      <c r="D210" s="19" t="s">
        <v>794</v>
      </c>
      <c r="E210" s="21" t="s">
        <v>281</v>
      </c>
      <c r="F210" s="20" t="s">
        <v>2058</v>
      </c>
      <c r="G210" s="20" t="s">
        <v>760</v>
      </c>
      <c r="H210" s="20" t="s">
        <v>2365</v>
      </c>
      <c r="I210" s="20" t="s">
        <v>760</v>
      </c>
      <c r="J210" s="20" t="s">
        <v>2366</v>
      </c>
      <c r="K210" s="20" t="s">
        <v>760</v>
      </c>
      <c r="L210" s="82">
        <v>77.05</v>
      </c>
      <c r="M210" s="20" t="s">
        <v>2313</v>
      </c>
      <c r="N210" s="82">
        <v>894616.36319169996</v>
      </c>
      <c r="O210" s="20" t="s">
        <v>2367</v>
      </c>
    </row>
    <row r="211" spans="1:15" ht="24" customHeight="1" x14ac:dyDescent="0.2">
      <c r="A211" s="20" t="s">
        <v>1155</v>
      </c>
      <c r="B211" s="19" t="s">
        <v>327</v>
      </c>
      <c r="C211" s="19" t="s">
        <v>1027</v>
      </c>
      <c r="D211" s="19" t="s">
        <v>784</v>
      </c>
      <c r="E211" s="21" t="s">
        <v>785</v>
      </c>
      <c r="F211" s="20" t="s">
        <v>2368</v>
      </c>
      <c r="G211" s="20" t="s">
        <v>760</v>
      </c>
      <c r="H211" s="20" t="s">
        <v>2369</v>
      </c>
      <c r="I211" s="20" t="s">
        <v>760</v>
      </c>
      <c r="J211" s="20" t="s">
        <v>2370</v>
      </c>
      <c r="K211" s="20" t="s">
        <v>760</v>
      </c>
      <c r="L211" s="82">
        <v>75.849626400000005</v>
      </c>
      <c r="M211" s="20" t="s">
        <v>2313</v>
      </c>
      <c r="N211" s="82">
        <v>894692.2128181</v>
      </c>
      <c r="O211" s="20" t="s">
        <v>2371</v>
      </c>
    </row>
    <row r="212" spans="1:15" ht="39" customHeight="1" x14ac:dyDescent="0.2">
      <c r="A212" s="20" t="s">
        <v>976</v>
      </c>
      <c r="B212" s="19" t="s">
        <v>15</v>
      </c>
      <c r="C212" s="19" t="s">
        <v>977</v>
      </c>
      <c r="D212" s="19" t="s">
        <v>794</v>
      </c>
      <c r="E212" s="21" t="s">
        <v>32</v>
      </c>
      <c r="F212" s="20" t="s">
        <v>2372</v>
      </c>
      <c r="G212" s="20" t="s">
        <v>760</v>
      </c>
      <c r="H212" s="20" t="s">
        <v>2373</v>
      </c>
      <c r="I212" s="20" t="s">
        <v>760</v>
      </c>
      <c r="J212" s="20" t="s">
        <v>2374</v>
      </c>
      <c r="K212" s="20" t="s">
        <v>760</v>
      </c>
      <c r="L212" s="82">
        <v>72.776681249999996</v>
      </c>
      <c r="M212" s="20" t="s">
        <v>2313</v>
      </c>
      <c r="N212" s="82">
        <v>894764.98949940002</v>
      </c>
      <c r="O212" s="20" t="s">
        <v>2371</v>
      </c>
    </row>
    <row r="213" spans="1:15" ht="26.1" customHeight="1" x14ac:dyDescent="0.2">
      <c r="A213" s="20" t="s">
        <v>1121</v>
      </c>
      <c r="B213" s="19" t="s">
        <v>31</v>
      </c>
      <c r="C213" s="19" t="s">
        <v>1122</v>
      </c>
      <c r="D213" s="19" t="s">
        <v>794</v>
      </c>
      <c r="E213" s="21" t="s">
        <v>32</v>
      </c>
      <c r="F213" s="20" t="s">
        <v>1615</v>
      </c>
      <c r="G213" s="20" t="s">
        <v>760</v>
      </c>
      <c r="H213" s="20" t="s">
        <v>2375</v>
      </c>
      <c r="I213" s="20" t="s">
        <v>760</v>
      </c>
      <c r="J213" s="20" t="s">
        <v>2375</v>
      </c>
      <c r="K213" s="20" t="s">
        <v>760</v>
      </c>
      <c r="L213" s="82">
        <v>70.72</v>
      </c>
      <c r="M213" s="20" t="s">
        <v>2313</v>
      </c>
      <c r="N213" s="82">
        <v>894835.70949939999</v>
      </c>
      <c r="O213" s="20" t="s">
        <v>2376</v>
      </c>
    </row>
    <row r="214" spans="1:15" ht="24" customHeight="1" x14ac:dyDescent="0.2">
      <c r="A214" s="20" t="s">
        <v>1015</v>
      </c>
      <c r="B214" s="19" t="s">
        <v>15</v>
      </c>
      <c r="C214" s="19" t="s">
        <v>1016</v>
      </c>
      <c r="D214" s="19" t="s">
        <v>794</v>
      </c>
      <c r="E214" s="21" t="s">
        <v>32</v>
      </c>
      <c r="F214" s="20" t="s">
        <v>1836</v>
      </c>
      <c r="G214" s="20" t="s">
        <v>760</v>
      </c>
      <c r="H214" s="20" t="s">
        <v>2377</v>
      </c>
      <c r="I214" s="20" t="s">
        <v>760</v>
      </c>
      <c r="J214" s="20" t="s">
        <v>2378</v>
      </c>
      <c r="K214" s="20" t="s">
        <v>760</v>
      </c>
      <c r="L214" s="82">
        <v>68.959999999999994</v>
      </c>
      <c r="M214" s="20" t="s">
        <v>2313</v>
      </c>
      <c r="N214" s="82">
        <v>894904.66949939996</v>
      </c>
      <c r="O214" s="20" t="s">
        <v>2379</v>
      </c>
    </row>
    <row r="215" spans="1:15" ht="24" customHeight="1" x14ac:dyDescent="0.2">
      <c r="A215" s="20" t="s">
        <v>2380</v>
      </c>
      <c r="B215" s="19" t="s">
        <v>31</v>
      </c>
      <c r="C215" s="19" t="s">
        <v>2381</v>
      </c>
      <c r="D215" s="19" t="s">
        <v>784</v>
      </c>
      <c r="E215" s="21" t="s">
        <v>785</v>
      </c>
      <c r="F215" s="20" t="s">
        <v>2382</v>
      </c>
      <c r="G215" s="20" t="s">
        <v>760</v>
      </c>
      <c r="H215" s="20" t="s">
        <v>2383</v>
      </c>
      <c r="I215" s="20" t="s">
        <v>760</v>
      </c>
      <c r="J215" s="20" t="s">
        <v>2384</v>
      </c>
      <c r="K215" s="20" t="s">
        <v>760</v>
      </c>
      <c r="L215" s="82">
        <v>67.510644389999996</v>
      </c>
      <c r="M215" s="20" t="s">
        <v>2313</v>
      </c>
      <c r="N215" s="82">
        <v>894972.18014379998</v>
      </c>
      <c r="O215" s="20" t="s">
        <v>2385</v>
      </c>
    </row>
    <row r="216" spans="1:15" ht="24" customHeight="1" x14ac:dyDescent="0.2">
      <c r="A216" s="20" t="s">
        <v>873</v>
      </c>
      <c r="B216" s="19" t="s">
        <v>15</v>
      </c>
      <c r="C216" s="19" t="s">
        <v>874</v>
      </c>
      <c r="D216" s="19" t="s">
        <v>794</v>
      </c>
      <c r="E216" s="21" t="s">
        <v>134</v>
      </c>
      <c r="F216" s="20" t="s">
        <v>2386</v>
      </c>
      <c r="G216" s="20" t="s">
        <v>760</v>
      </c>
      <c r="H216" s="20" t="s">
        <v>2387</v>
      </c>
      <c r="I216" s="20" t="s">
        <v>760</v>
      </c>
      <c r="J216" s="20" t="s">
        <v>2388</v>
      </c>
      <c r="K216" s="20" t="s">
        <v>760</v>
      </c>
      <c r="L216" s="82">
        <v>67.081872000000004</v>
      </c>
      <c r="M216" s="20" t="s">
        <v>2313</v>
      </c>
      <c r="N216" s="82">
        <v>895039.26201579999</v>
      </c>
      <c r="O216" s="20" t="s">
        <v>2389</v>
      </c>
    </row>
    <row r="217" spans="1:15" ht="26.1" customHeight="1" x14ac:dyDescent="0.2">
      <c r="A217" s="20" t="s">
        <v>1332</v>
      </c>
      <c r="B217" s="19" t="s">
        <v>15</v>
      </c>
      <c r="C217" s="19" t="s">
        <v>1333</v>
      </c>
      <c r="D217" s="19" t="s">
        <v>794</v>
      </c>
      <c r="E217" s="21" t="s">
        <v>32</v>
      </c>
      <c r="F217" s="20" t="s">
        <v>2390</v>
      </c>
      <c r="G217" s="20" t="s">
        <v>760</v>
      </c>
      <c r="H217" s="20" t="s">
        <v>2391</v>
      </c>
      <c r="I217" s="20" t="s">
        <v>760</v>
      </c>
      <c r="J217" s="20" t="s">
        <v>2392</v>
      </c>
      <c r="K217" s="20" t="s">
        <v>760</v>
      </c>
      <c r="L217" s="82">
        <v>65.058719999999994</v>
      </c>
      <c r="M217" s="20" t="s">
        <v>2313</v>
      </c>
      <c r="N217" s="82">
        <v>895104.32073579996</v>
      </c>
      <c r="O217" s="20" t="s">
        <v>2389</v>
      </c>
    </row>
    <row r="218" spans="1:15" ht="24" customHeight="1" x14ac:dyDescent="0.2">
      <c r="A218" s="20" t="s">
        <v>1223</v>
      </c>
      <c r="B218" s="19" t="s">
        <v>15</v>
      </c>
      <c r="C218" s="19" t="s">
        <v>1224</v>
      </c>
      <c r="D218" s="19" t="s">
        <v>794</v>
      </c>
      <c r="E218" s="21" t="s">
        <v>281</v>
      </c>
      <c r="F218" s="20" t="s">
        <v>1836</v>
      </c>
      <c r="G218" s="20" t="s">
        <v>760</v>
      </c>
      <c r="H218" s="20" t="s">
        <v>2393</v>
      </c>
      <c r="I218" s="20" t="s">
        <v>760</v>
      </c>
      <c r="J218" s="20" t="s">
        <v>2394</v>
      </c>
      <c r="K218" s="20" t="s">
        <v>760</v>
      </c>
      <c r="L218" s="82">
        <v>60.68</v>
      </c>
      <c r="M218" s="20" t="s">
        <v>2313</v>
      </c>
      <c r="N218" s="82">
        <v>895165.00073580001</v>
      </c>
      <c r="O218" s="20" t="s">
        <v>2395</v>
      </c>
    </row>
    <row r="219" spans="1:15" ht="39" customHeight="1" x14ac:dyDescent="0.2">
      <c r="A219" s="20" t="s">
        <v>1278</v>
      </c>
      <c r="B219" s="19" t="s">
        <v>15</v>
      </c>
      <c r="C219" s="19" t="s">
        <v>1279</v>
      </c>
      <c r="D219" s="19" t="s">
        <v>794</v>
      </c>
      <c r="E219" s="21" t="s">
        <v>134</v>
      </c>
      <c r="F219" s="20" t="s">
        <v>2396</v>
      </c>
      <c r="G219" s="20" t="s">
        <v>760</v>
      </c>
      <c r="H219" s="20" t="s">
        <v>2397</v>
      </c>
      <c r="I219" s="20" t="s">
        <v>760</v>
      </c>
      <c r="J219" s="20" t="s">
        <v>2398</v>
      </c>
      <c r="K219" s="20" t="s">
        <v>760</v>
      </c>
      <c r="L219" s="82">
        <v>57.798929999999999</v>
      </c>
      <c r="M219" s="20" t="s">
        <v>2313</v>
      </c>
      <c r="N219" s="82">
        <v>895222.79966579995</v>
      </c>
      <c r="O219" s="20" t="s">
        <v>2399</v>
      </c>
    </row>
    <row r="220" spans="1:15" ht="26.1" customHeight="1" x14ac:dyDescent="0.2">
      <c r="A220" s="20" t="s">
        <v>1017</v>
      </c>
      <c r="B220" s="19" t="s">
        <v>15</v>
      </c>
      <c r="C220" s="19" t="s">
        <v>1018</v>
      </c>
      <c r="D220" s="19" t="s">
        <v>794</v>
      </c>
      <c r="E220" s="21" t="s">
        <v>32</v>
      </c>
      <c r="F220" s="20" t="s">
        <v>1836</v>
      </c>
      <c r="G220" s="20" t="s">
        <v>760</v>
      </c>
      <c r="H220" s="20" t="s">
        <v>2400</v>
      </c>
      <c r="I220" s="20" t="s">
        <v>760</v>
      </c>
      <c r="J220" s="20" t="s">
        <v>2401</v>
      </c>
      <c r="K220" s="20" t="s">
        <v>760</v>
      </c>
      <c r="L220" s="82">
        <v>57.06</v>
      </c>
      <c r="M220" s="20" t="s">
        <v>2313</v>
      </c>
      <c r="N220" s="82">
        <v>895279.8596658</v>
      </c>
      <c r="O220" s="20" t="s">
        <v>2399</v>
      </c>
    </row>
    <row r="221" spans="1:15" ht="26.1" customHeight="1" x14ac:dyDescent="0.2">
      <c r="A221" s="20" t="s">
        <v>995</v>
      </c>
      <c r="B221" s="19" t="s">
        <v>15</v>
      </c>
      <c r="C221" s="19" t="s">
        <v>996</v>
      </c>
      <c r="D221" s="19" t="s">
        <v>794</v>
      </c>
      <c r="E221" s="21" t="s">
        <v>78</v>
      </c>
      <c r="F221" s="20" t="s">
        <v>1749</v>
      </c>
      <c r="G221" s="20" t="s">
        <v>760</v>
      </c>
      <c r="H221" s="20" t="s">
        <v>2402</v>
      </c>
      <c r="I221" s="20" t="s">
        <v>760</v>
      </c>
      <c r="J221" s="20" t="s">
        <v>2403</v>
      </c>
      <c r="K221" s="20" t="s">
        <v>760</v>
      </c>
      <c r="L221" s="82">
        <v>57</v>
      </c>
      <c r="M221" s="20" t="s">
        <v>2313</v>
      </c>
      <c r="N221" s="82">
        <v>895336.8596658</v>
      </c>
      <c r="O221" s="20" t="s">
        <v>2404</v>
      </c>
    </row>
    <row r="222" spans="1:15" ht="39" customHeight="1" x14ac:dyDescent="0.2">
      <c r="A222" s="20" t="s">
        <v>1143</v>
      </c>
      <c r="B222" s="19" t="s">
        <v>15</v>
      </c>
      <c r="C222" s="19" t="s">
        <v>1144</v>
      </c>
      <c r="D222" s="19" t="s">
        <v>794</v>
      </c>
      <c r="E222" s="21" t="s">
        <v>32</v>
      </c>
      <c r="F222" s="20" t="s">
        <v>1615</v>
      </c>
      <c r="G222" s="20" t="s">
        <v>760</v>
      </c>
      <c r="H222" s="20" t="s">
        <v>2405</v>
      </c>
      <c r="I222" s="20" t="s">
        <v>760</v>
      </c>
      <c r="J222" s="20" t="s">
        <v>2405</v>
      </c>
      <c r="K222" s="20" t="s">
        <v>760</v>
      </c>
      <c r="L222" s="82">
        <v>53.24</v>
      </c>
      <c r="M222" s="20" t="s">
        <v>2313</v>
      </c>
      <c r="N222" s="82">
        <v>895390.09966579999</v>
      </c>
      <c r="O222" s="20" t="s">
        <v>2404</v>
      </c>
    </row>
    <row r="223" spans="1:15" ht="26.1" customHeight="1" x14ac:dyDescent="0.2">
      <c r="A223" s="20" t="s">
        <v>1442</v>
      </c>
      <c r="B223" s="19" t="s">
        <v>15</v>
      </c>
      <c r="C223" s="19" t="s">
        <v>1443</v>
      </c>
      <c r="D223" s="19" t="s">
        <v>794</v>
      </c>
      <c r="E223" s="21" t="s">
        <v>32</v>
      </c>
      <c r="F223" s="20" t="s">
        <v>2406</v>
      </c>
      <c r="G223" s="20" t="s">
        <v>760</v>
      </c>
      <c r="H223" s="20" t="s">
        <v>2407</v>
      </c>
      <c r="I223" s="20" t="s">
        <v>760</v>
      </c>
      <c r="J223" s="20" t="s">
        <v>2408</v>
      </c>
      <c r="K223" s="20" t="s">
        <v>760</v>
      </c>
      <c r="L223" s="82">
        <v>50.76</v>
      </c>
      <c r="M223" s="20" t="s">
        <v>2313</v>
      </c>
      <c r="N223" s="82">
        <v>895440.8596658</v>
      </c>
      <c r="O223" s="20" t="s">
        <v>2409</v>
      </c>
    </row>
    <row r="224" spans="1:15" ht="24" customHeight="1" x14ac:dyDescent="0.2">
      <c r="A224" s="20" t="s">
        <v>2410</v>
      </c>
      <c r="B224" s="19" t="s">
        <v>31</v>
      </c>
      <c r="C224" s="19" t="s">
        <v>2411</v>
      </c>
      <c r="D224" s="19" t="s">
        <v>794</v>
      </c>
      <c r="E224" s="21" t="s">
        <v>720</v>
      </c>
      <c r="F224" s="20" t="s">
        <v>2412</v>
      </c>
      <c r="G224" s="20" t="s">
        <v>760</v>
      </c>
      <c r="H224" s="20" t="s">
        <v>2413</v>
      </c>
      <c r="I224" s="20" t="s">
        <v>760</v>
      </c>
      <c r="J224" s="20" t="s">
        <v>2414</v>
      </c>
      <c r="K224" s="20" t="s">
        <v>760</v>
      </c>
      <c r="L224" s="82">
        <v>50.340512500000003</v>
      </c>
      <c r="M224" s="20" t="s">
        <v>2313</v>
      </c>
      <c r="N224" s="82">
        <v>895491.20017830003</v>
      </c>
      <c r="O224" s="20" t="s">
        <v>2415</v>
      </c>
    </row>
    <row r="225" spans="1:15" ht="24" customHeight="1" x14ac:dyDescent="0.2">
      <c r="A225" s="20" t="s">
        <v>1092</v>
      </c>
      <c r="B225" s="19" t="s">
        <v>15</v>
      </c>
      <c r="C225" s="19" t="s">
        <v>1093</v>
      </c>
      <c r="D225" s="19" t="s">
        <v>794</v>
      </c>
      <c r="E225" s="21" t="s">
        <v>32</v>
      </c>
      <c r="F225" s="20" t="s">
        <v>1615</v>
      </c>
      <c r="G225" s="20" t="s">
        <v>760</v>
      </c>
      <c r="H225" s="20" t="s">
        <v>2416</v>
      </c>
      <c r="I225" s="20" t="s">
        <v>760</v>
      </c>
      <c r="J225" s="20" t="s">
        <v>2416</v>
      </c>
      <c r="K225" s="20" t="s">
        <v>760</v>
      </c>
      <c r="L225" s="82">
        <v>49</v>
      </c>
      <c r="M225" s="20" t="s">
        <v>2313</v>
      </c>
      <c r="N225" s="82">
        <v>895540.20017830003</v>
      </c>
      <c r="O225" s="20" t="s">
        <v>2415</v>
      </c>
    </row>
    <row r="226" spans="1:15" ht="24" customHeight="1" x14ac:dyDescent="0.2">
      <c r="A226" s="20" t="s">
        <v>1135</v>
      </c>
      <c r="B226" s="19" t="s">
        <v>15</v>
      </c>
      <c r="C226" s="19" t="s">
        <v>1136</v>
      </c>
      <c r="D226" s="19" t="s">
        <v>794</v>
      </c>
      <c r="E226" s="21" t="s">
        <v>134</v>
      </c>
      <c r="F226" s="20" t="s">
        <v>2417</v>
      </c>
      <c r="G226" s="20" t="s">
        <v>760</v>
      </c>
      <c r="H226" s="20" t="s">
        <v>2405</v>
      </c>
      <c r="I226" s="20" t="s">
        <v>760</v>
      </c>
      <c r="J226" s="20" t="s">
        <v>2418</v>
      </c>
      <c r="K226" s="20" t="s">
        <v>760</v>
      </c>
      <c r="L226" s="82">
        <v>47.228671599999998</v>
      </c>
      <c r="M226" s="20" t="s">
        <v>2313</v>
      </c>
      <c r="N226" s="82">
        <v>895587.42884990002</v>
      </c>
      <c r="O226" s="20" t="s">
        <v>2419</v>
      </c>
    </row>
    <row r="227" spans="1:15" ht="24" customHeight="1" x14ac:dyDescent="0.2">
      <c r="A227" s="20" t="s">
        <v>989</v>
      </c>
      <c r="B227" s="19" t="s">
        <v>15</v>
      </c>
      <c r="C227" s="19" t="s">
        <v>990</v>
      </c>
      <c r="D227" s="19" t="s">
        <v>794</v>
      </c>
      <c r="E227" s="21" t="s">
        <v>134</v>
      </c>
      <c r="F227" s="20" t="s">
        <v>2420</v>
      </c>
      <c r="G227" s="20" t="s">
        <v>760</v>
      </c>
      <c r="H227" s="20" t="s">
        <v>2421</v>
      </c>
      <c r="I227" s="20" t="s">
        <v>760</v>
      </c>
      <c r="J227" s="20" t="s">
        <v>2422</v>
      </c>
      <c r="K227" s="20" t="s">
        <v>760</v>
      </c>
      <c r="L227" s="82">
        <v>43.826835000000003</v>
      </c>
      <c r="M227" s="20" t="s">
        <v>2423</v>
      </c>
      <c r="N227" s="82">
        <v>895631.25568489998</v>
      </c>
      <c r="O227" s="20" t="s">
        <v>2419</v>
      </c>
    </row>
    <row r="228" spans="1:15" ht="24" customHeight="1" x14ac:dyDescent="0.2">
      <c r="A228" s="20" t="s">
        <v>1019</v>
      </c>
      <c r="B228" s="19" t="s">
        <v>15</v>
      </c>
      <c r="C228" s="19" t="s">
        <v>1020</v>
      </c>
      <c r="D228" s="19" t="s">
        <v>794</v>
      </c>
      <c r="E228" s="21" t="s">
        <v>32</v>
      </c>
      <c r="F228" s="20" t="s">
        <v>1615</v>
      </c>
      <c r="G228" s="20" t="s">
        <v>760</v>
      </c>
      <c r="H228" s="20" t="s">
        <v>2424</v>
      </c>
      <c r="I228" s="20" t="s">
        <v>760</v>
      </c>
      <c r="J228" s="20" t="s">
        <v>2424</v>
      </c>
      <c r="K228" s="20" t="s">
        <v>760</v>
      </c>
      <c r="L228" s="82">
        <v>43.18</v>
      </c>
      <c r="M228" s="20" t="s">
        <v>2423</v>
      </c>
      <c r="N228" s="82">
        <v>895674.43568490003</v>
      </c>
      <c r="O228" s="20" t="s">
        <v>2425</v>
      </c>
    </row>
    <row r="229" spans="1:15" ht="24" customHeight="1" x14ac:dyDescent="0.2">
      <c r="A229" s="20" t="s">
        <v>1250</v>
      </c>
      <c r="B229" s="19" t="s">
        <v>275</v>
      </c>
      <c r="C229" s="19" t="s">
        <v>1251</v>
      </c>
      <c r="D229" s="19" t="s">
        <v>784</v>
      </c>
      <c r="E229" s="21" t="s">
        <v>785</v>
      </c>
      <c r="F229" s="20" t="s">
        <v>2426</v>
      </c>
      <c r="G229" s="20" t="s">
        <v>760</v>
      </c>
      <c r="H229" s="20" t="s">
        <v>2427</v>
      </c>
      <c r="I229" s="20" t="s">
        <v>760</v>
      </c>
      <c r="J229" s="20" t="s">
        <v>2428</v>
      </c>
      <c r="K229" s="20" t="s">
        <v>760</v>
      </c>
      <c r="L229" s="82">
        <v>40.985999999999997</v>
      </c>
      <c r="M229" s="20" t="s">
        <v>2423</v>
      </c>
      <c r="N229" s="82">
        <v>895715.42168489995</v>
      </c>
      <c r="O229" s="20" t="s">
        <v>2425</v>
      </c>
    </row>
    <row r="230" spans="1:15" ht="24" customHeight="1" x14ac:dyDescent="0.2">
      <c r="A230" s="20" t="s">
        <v>820</v>
      </c>
      <c r="B230" s="19" t="s">
        <v>15</v>
      </c>
      <c r="C230" s="19" t="s">
        <v>821</v>
      </c>
      <c r="D230" s="19" t="s">
        <v>794</v>
      </c>
      <c r="E230" s="21" t="s">
        <v>134</v>
      </c>
      <c r="F230" s="20" t="s">
        <v>2429</v>
      </c>
      <c r="G230" s="20" t="s">
        <v>760</v>
      </c>
      <c r="H230" s="20" t="s">
        <v>2430</v>
      </c>
      <c r="I230" s="20" t="s">
        <v>760</v>
      </c>
      <c r="J230" s="20" t="s">
        <v>2431</v>
      </c>
      <c r="K230" s="20" t="s">
        <v>760</v>
      </c>
      <c r="L230" s="82">
        <v>40.938941999999997</v>
      </c>
      <c r="M230" s="20" t="s">
        <v>2423</v>
      </c>
      <c r="N230" s="82">
        <v>895756.36062689999</v>
      </c>
      <c r="O230" s="20" t="s">
        <v>2425</v>
      </c>
    </row>
    <row r="231" spans="1:15" ht="24" customHeight="1" x14ac:dyDescent="0.2">
      <c r="A231" s="20" t="s">
        <v>2432</v>
      </c>
      <c r="B231" s="19" t="s">
        <v>31</v>
      </c>
      <c r="C231" s="19" t="s">
        <v>2433</v>
      </c>
      <c r="D231" s="19" t="s">
        <v>784</v>
      </c>
      <c r="E231" s="21" t="s">
        <v>785</v>
      </c>
      <c r="F231" s="20" t="s">
        <v>2434</v>
      </c>
      <c r="G231" s="20" t="s">
        <v>760</v>
      </c>
      <c r="H231" s="20" t="s">
        <v>1907</v>
      </c>
      <c r="I231" s="20" t="s">
        <v>760</v>
      </c>
      <c r="J231" s="20" t="s">
        <v>2435</v>
      </c>
      <c r="K231" s="20" t="s">
        <v>760</v>
      </c>
      <c r="L231" s="82">
        <v>40.417500732000001</v>
      </c>
      <c r="M231" s="20" t="s">
        <v>2423</v>
      </c>
      <c r="N231" s="82">
        <v>895796.77812759997</v>
      </c>
      <c r="O231" s="20" t="s">
        <v>2436</v>
      </c>
    </row>
    <row r="232" spans="1:15" ht="26.1" customHeight="1" x14ac:dyDescent="0.2">
      <c r="A232" s="20" t="s">
        <v>842</v>
      </c>
      <c r="B232" s="19" t="s">
        <v>15</v>
      </c>
      <c r="C232" s="19" t="s">
        <v>843</v>
      </c>
      <c r="D232" s="19" t="s">
        <v>794</v>
      </c>
      <c r="E232" s="21" t="s">
        <v>785</v>
      </c>
      <c r="F232" s="20" t="s">
        <v>1784</v>
      </c>
      <c r="G232" s="20" t="s">
        <v>760</v>
      </c>
      <c r="H232" s="20" t="s">
        <v>2437</v>
      </c>
      <c r="I232" s="20" t="s">
        <v>760</v>
      </c>
      <c r="J232" s="20" t="s">
        <v>2438</v>
      </c>
      <c r="K232" s="20" t="s">
        <v>760</v>
      </c>
      <c r="L232" s="82">
        <v>38.4</v>
      </c>
      <c r="M232" s="20" t="s">
        <v>2423</v>
      </c>
      <c r="N232" s="82">
        <v>895835.1781276</v>
      </c>
      <c r="O232" s="20" t="s">
        <v>2436</v>
      </c>
    </row>
    <row r="233" spans="1:15" ht="26.1" customHeight="1" x14ac:dyDescent="0.2">
      <c r="A233" s="20" t="s">
        <v>1074</v>
      </c>
      <c r="B233" s="19" t="s">
        <v>31</v>
      </c>
      <c r="C233" s="19" t="s">
        <v>1075</v>
      </c>
      <c r="D233" s="19" t="s">
        <v>794</v>
      </c>
      <c r="E233" s="21" t="s">
        <v>78</v>
      </c>
      <c r="F233" s="20" t="s">
        <v>2439</v>
      </c>
      <c r="G233" s="20" t="s">
        <v>760</v>
      </c>
      <c r="H233" s="20" t="s">
        <v>2440</v>
      </c>
      <c r="I233" s="20" t="s">
        <v>760</v>
      </c>
      <c r="J233" s="20" t="s">
        <v>2441</v>
      </c>
      <c r="K233" s="20" t="s">
        <v>760</v>
      </c>
      <c r="L233" s="82">
        <v>37.800311999999998</v>
      </c>
      <c r="M233" s="20" t="s">
        <v>2423</v>
      </c>
      <c r="N233" s="82">
        <v>895872.97843959997</v>
      </c>
      <c r="O233" s="20" t="s">
        <v>2442</v>
      </c>
    </row>
    <row r="234" spans="1:15" ht="26.1" customHeight="1" x14ac:dyDescent="0.2">
      <c r="A234" s="20" t="s">
        <v>1021</v>
      </c>
      <c r="B234" s="19" t="s">
        <v>15</v>
      </c>
      <c r="C234" s="19" t="s">
        <v>1022</v>
      </c>
      <c r="D234" s="19" t="s">
        <v>794</v>
      </c>
      <c r="E234" s="21" t="s">
        <v>32</v>
      </c>
      <c r="F234" s="20" t="s">
        <v>1615</v>
      </c>
      <c r="G234" s="20" t="s">
        <v>760</v>
      </c>
      <c r="H234" s="20" t="s">
        <v>2443</v>
      </c>
      <c r="I234" s="20" t="s">
        <v>760</v>
      </c>
      <c r="J234" s="20" t="s">
        <v>2443</v>
      </c>
      <c r="K234" s="20" t="s">
        <v>760</v>
      </c>
      <c r="L234" s="82">
        <v>37.6</v>
      </c>
      <c r="M234" s="20" t="s">
        <v>2423</v>
      </c>
      <c r="N234" s="82">
        <v>895910.57843959995</v>
      </c>
      <c r="O234" s="20" t="s">
        <v>2442</v>
      </c>
    </row>
    <row r="235" spans="1:15" ht="26.1" customHeight="1" x14ac:dyDescent="0.2">
      <c r="A235" s="20" t="s">
        <v>1217</v>
      </c>
      <c r="B235" s="19" t="s">
        <v>15</v>
      </c>
      <c r="C235" s="19" t="s">
        <v>1218</v>
      </c>
      <c r="D235" s="19" t="s">
        <v>794</v>
      </c>
      <c r="E235" s="21" t="s">
        <v>281</v>
      </c>
      <c r="F235" s="20" t="s">
        <v>1836</v>
      </c>
      <c r="G235" s="20" t="s">
        <v>760</v>
      </c>
      <c r="H235" s="20" t="s">
        <v>2444</v>
      </c>
      <c r="I235" s="20" t="s">
        <v>760</v>
      </c>
      <c r="J235" s="20" t="s">
        <v>2445</v>
      </c>
      <c r="K235" s="20" t="s">
        <v>760</v>
      </c>
      <c r="L235" s="82">
        <v>35.979999999999997</v>
      </c>
      <c r="M235" s="20" t="s">
        <v>2423</v>
      </c>
      <c r="N235" s="82">
        <v>895946.55843960005</v>
      </c>
      <c r="O235" s="20" t="s">
        <v>2446</v>
      </c>
    </row>
    <row r="236" spans="1:15" ht="26.1" customHeight="1" x14ac:dyDescent="0.2">
      <c r="A236" s="20" t="s">
        <v>997</v>
      </c>
      <c r="B236" s="19" t="s">
        <v>15</v>
      </c>
      <c r="C236" s="19" t="s">
        <v>998</v>
      </c>
      <c r="D236" s="19" t="s">
        <v>794</v>
      </c>
      <c r="E236" s="21" t="s">
        <v>78</v>
      </c>
      <c r="F236" s="20" t="s">
        <v>2447</v>
      </c>
      <c r="G236" s="20" t="s">
        <v>760</v>
      </c>
      <c r="H236" s="20" t="s">
        <v>2448</v>
      </c>
      <c r="I236" s="20" t="s">
        <v>760</v>
      </c>
      <c r="J236" s="20" t="s">
        <v>2449</v>
      </c>
      <c r="K236" s="20" t="s">
        <v>760</v>
      </c>
      <c r="L236" s="82">
        <v>35.756</v>
      </c>
      <c r="M236" s="20" t="s">
        <v>2423</v>
      </c>
      <c r="N236" s="82">
        <v>895982.31443959998</v>
      </c>
      <c r="O236" s="20" t="s">
        <v>2446</v>
      </c>
    </row>
    <row r="237" spans="1:15" ht="24" customHeight="1" x14ac:dyDescent="0.2">
      <c r="A237" s="20" t="s">
        <v>933</v>
      </c>
      <c r="B237" s="19" t="s">
        <v>15</v>
      </c>
      <c r="C237" s="19" t="s">
        <v>934</v>
      </c>
      <c r="D237" s="19" t="s">
        <v>794</v>
      </c>
      <c r="E237" s="21" t="s">
        <v>32</v>
      </c>
      <c r="F237" s="20" t="s">
        <v>2450</v>
      </c>
      <c r="G237" s="20" t="s">
        <v>760</v>
      </c>
      <c r="H237" s="20" t="s">
        <v>2451</v>
      </c>
      <c r="I237" s="20" t="s">
        <v>760</v>
      </c>
      <c r="J237" s="20" t="s">
        <v>2452</v>
      </c>
      <c r="K237" s="20" t="s">
        <v>760</v>
      </c>
      <c r="L237" s="82">
        <v>34.811830999999998</v>
      </c>
      <c r="M237" s="20" t="s">
        <v>2423</v>
      </c>
      <c r="N237" s="82">
        <v>896017.12627060001</v>
      </c>
      <c r="O237" s="20" t="s">
        <v>2446</v>
      </c>
    </row>
    <row r="238" spans="1:15" ht="51.95" customHeight="1" x14ac:dyDescent="0.2">
      <c r="A238" s="20" t="s">
        <v>1133</v>
      </c>
      <c r="B238" s="19" t="s">
        <v>15</v>
      </c>
      <c r="C238" s="19" t="s">
        <v>1134</v>
      </c>
      <c r="D238" s="19" t="s">
        <v>794</v>
      </c>
      <c r="E238" s="21" t="s">
        <v>134</v>
      </c>
      <c r="F238" s="20" t="s">
        <v>2453</v>
      </c>
      <c r="G238" s="20" t="s">
        <v>760</v>
      </c>
      <c r="H238" s="20" t="s">
        <v>2454</v>
      </c>
      <c r="I238" s="20" t="s">
        <v>760</v>
      </c>
      <c r="J238" s="20" t="s">
        <v>2455</v>
      </c>
      <c r="K238" s="20" t="s">
        <v>760</v>
      </c>
      <c r="L238" s="82">
        <v>34.283393099999998</v>
      </c>
      <c r="M238" s="20" t="s">
        <v>2423</v>
      </c>
      <c r="N238" s="82">
        <v>896051.40966370003</v>
      </c>
      <c r="O238" s="20" t="s">
        <v>2456</v>
      </c>
    </row>
    <row r="239" spans="1:15" ht="24" customHeight="1" x14ac:dyDescent="0.2">
      <c r="A239" s="20" t="s">
        <v>2457</v>
      </c>
      <c r="B239" s="19" t="s">
        <v>31</v>
      </c>
      <c r="C239" s="19" t="s">
        <v>2458</v>
      </c>
      <c r="D239" s="19" t="s">
        <v>2459</v>
      </c>
      <c r="E239" s="21" t="s">
        <v>785</v>
      </c>
      <c r="F239" s="20" t="s">
        <v>1882</v>
      </c>
      <c r="G239" s="20" t="s">
        <v>760</v>
      </c>
      <c r="H239" s="20" t="s">
        <v>2460</v>
      </c>
      <c r="I239" s="20" t="s">
        <v>760</v>
      </c>
      <c r="J239" s="20" t="s">
        <v>2461</v>
      </c>
      <c r="K239" s="20" t="s">
        <v>760</v>
      </c>
      <c r="L239" s="82">
        <v>33.62065887</v>
      </c>
      <c r="M239" s="20" t="s">
        <v>2423</v>
      </c>
      <c r="N239" s="82">
        <v>896085.03032260004</v>
      </c>
      <c r="O239" s="20" t="s">
        <v>2456</v>
      </c>
    </row>
    <row r="240" spans="1:15" ht="24" customHeight="1" x14ac:dyDescent="0.2">
      <c r="A240" s="20" t="s">
        <v>2462</v>
      </c>
      <c r="B240" s="19" t="s">
        <v>31</v>
      </c>
      <c r="C240" s="19" t="s">
        <v>2463</v>
      </c>
      <c r="D240" s="19" t="s">
        <v>784</v>
      </c>
      <c r="E240" s="21" t="s">
        <v>785</v>
      </c>
      <c r="F240" s="20" t="s">
        <v>2464</v>
      </c>
      <c r="G240" s="20" t="s">
        <v>760</v>
      </c>
      <c r="H240" s="20" t="s">
        <v>2324</v>
      </c>
      <c r="I240" s="20" t="s">
        <v>760</v>
      </c>
      <c r="J240" s="20" t="s">
        <v>2324</v>
      </c>
      <c r="K240" s="20" t="s">
        <v>760</v>
      </c>
      <c r="L240" s="82">
        <v>26.265875609999998</v>
      </c>
      <c r="M240" s="20" t="s">
        <v>2423</v>
      </c>
      <c r="N240" s="82">
        <v>896111.29619819997</v>
      </c>
      <c r="O240" s="20" t="s">
        <v>2456</v>
      </c>
    </row>
    <row r="241" spans="1:15" ht="39" customHeight="1" x14ac:dyDescent="0.2">
      <c r="A241" s="20" t="s">
        <v>797</v>
      </c>
      <c r="B241" s="19" t="s">
        <v>15</v>
      </c>
      <c r="C241" s="19" t="s">
        <v>798</v>
      </c>
      <c r="D241" s="19" t="s">
        <v>794</v>
      </c>
      <c r="E241" s="21" t="s">
        <v>720</v>
      </c>
      <c r="F241" s="20" t="s">
        <v>2465</v>
      </c>
      <c r="G241" s="20" t="s">
        <v>760</v>
      </c>
      <c r="H241" s="20" t="s">
        <v>2466</v>
      </c>
      <c r="I241" s="20" t="s">
        <v>760</v>
      </c>
      <c r="J241" s="20" t="s">
        <v>2467</v>
      </c>
      <c r="K241" s="20" t="s">
        <v>760</v>
      </c>
      <c r="L241" s="82">
        <v>22.861125000000001</v>
      </c>
      <c r="M241" s="20" t="s">
        <v>2423</v>
      </c>
      <c r="N241" s="82">
        <v>896134.15732320002</v>
      </c>
      <c r="O241" s="20" t="s">
        <v>2468</v>
      </c>
    </row>
    <row r="242" spans="1:15" ht="24" customHeight="1" x14ac:dyDescent="0.2">
      <c r="A242" s="20" t="s">
        <v>1156</v>
      </c>
      <c r="B242" s="19" t="s">
        <v>327</v>
      </c>
      <c r="C242" s="19" t="s">
        <v>1157</v>
      </c>
      <c r="D242" s="19" t="s">
        <v>784</v>
      </c>
      <c r="E242" s="21" t="s">
        <v>785</v>
      </c>
      <c r="F242" s="20" t="s">
        <v>2469</v>
      </c>
      <c r="G242" s="20" t="s">
        <v>760</v>
      </c>
      <c r="H242" s="20" t="s">
        <v>2369</v>
      </c>
      <c r="I242" s="20" t="s">
        <v>760</v>
      </c>
      <c r="J242" s="20" t="s">
        <v>2470</v>
      </c>
      <c r="K242" s="20" t="s">
        <v>760</v>
      </c>
      <c r="L242" s="82">
        <v>22.683188000000001</v>
      </c>
      <c r="M242" s="20" t="s">
        <v>2423</v>
      </c>
      <c r="N242" s="82">
        <v>896156.84051120002</v>
      </c>
      <c r="O242" s="20" t="s">
        <v>2468</v>
      </c>
    </row>
    <row r="243" spans="1:15" ht="26.1" customHeight="1" x14ac:dyDescent="0.2">
      <c r="A243" s="20" t="s">
        <v>983</v>
      </c>
      <c r="B243" s="19" t="s">
        <v>15</v>
      </c>
      <c r="C243" s="19" t="s">
        <v>984</v>
      </c>
      <c r="D243" s="19" t="s">
        <v>794</v>
      </c>
      <c r="E243" s="21" t="s">
        <v>78</v>
      </c>
      <c r="F243" s="20" t="s">
        <v>2471</v>
      </c>
      <c r="G243" s="20" t="s">
        <v>760</v>
      </c>
      <c r="H243" s="20" t="s">
        <v>2472</v>
      </c>
      <c r="I243" s="20" t="s">
        <v>760</v>
      </c>
      <c r="J243" s="20" t="s">
        <v>2473</v>
      </c>
      <c r="K243" s="20" t="s">
        <v>760</v>
      </c>
      <c r="L243" s="82">
        <v>22.379437500000002</v>
      </c>
      <c r="M243" s="20" t="s">
        <v>2423</v>
      </c>
      <c r="N243" s="82">
        <v>896179.21994870005</v>
      </c>
      <c r="O243" s="20" t="s">
        <v>2468</v>
      </c>
    </row>
    <row r="244" spans="1:15" ht="26.1" customHeight="1" x14ac:dyDescent="0.2">
      <c r="A244" s="20" t="s">
        <v>1094</v>
      </c>
      <c r="B244" s="19" t="s">
        <v>15</v>
      </c>
      <c r="C244" s="19" t="s">
        <v>1095</v>
      </c>
      <c r="D244" s="19" t="s">
        <v>794</v>
      </c>
      <c r="E244" s="21" t="s">
        <v>32</v>
      </c>
      <c r="F244" s="20" t="s">
        <v>1615</v>
      </c>
      <c r="G244" s="20" t="s">
        <v>760</v>
      </c>
      <c r="H244" s="20" t="s">
        <v>1700</v>
      </c>
      <c r="I244" s="20" t="s">
        <v>760</v>
      </c>
      <c r="J244" s="20" t="s">
        <v>1700</v>
      </c>
      <c r="K244" s="20" t="s">
        <v>760</v>
      </c>
      <c r="L244" s="82">
        <v>21.47</v>
      </c>
      <c r="M244" s="20" t="s">
        <v>2423</v>
      </c>
      <c r="N244" s="82">
        <v>896200.68994870002</v>
      </c>
      <c r="O244" s="20" t="s">
        <v>2468</v>
      </c>
    </row>
    <row r="245" spans="1:15" ht="26.1" customHeight="1" x14ac:dyDescent="0.2">
      <c r="A245" s="20" t="s">
        <v>1112</v>
      </c>
      <c r="B245" s="19" t="s">
        <v>31</v>
      </c>
      <c r="C245" s="19" t="s">
        <v>1113</v>
      </c>
      <c r="D245" s="19" t="s">
        <v>794</v>
      </c>
      <c r="E245" s="21" t="s">
        <v>134</v>
      </c>
      <c r="F245" s="20" t="s">
        <v>2474</v>
      </c>
      <c r="G245" s="20" t="s">
        <v>760</v>
      </c>
      <c r="H245" s="20" t="s">
        <v>2475</v>
      </c>
      <c r="I245" s="20" t="s">
        <v>760</v>
      </c>
      <c r="J245" s="20" t="s">
        <v>2476</v>
      </c>
      <c r="K245" s="20" t="s">
        <v>760</v>
      </c>
      <c r="L245" s="82">
        <v>19.307904000000001</v>
      </c>
      <c r="M245" s="20" t="s">
        <v>2423</v>
      </c>
      <c r="N245" s="82">
        <v>896219.99785269995</v>
      </c>
      <c r="O245" s="20" t="s">
        <v>2477</v>
      </c>
    </row>
    <row r="246" spans="1:15" ht="26.1" customHeight="1" x14ac:dyDescent="0.2">
      <c r="A246" s="20" t="s">
        <v>1100</v>
      </c>
      <c r="B246" s="19" t="s">
        <v>15</v>
      </c>
      <c r="C246" s="19" t="s">
        <v>1101</v>
      </c>
      <c r="D246" s="19" t="s">
        <v>794</v>
      </c>
      <c r="E246" s="21" t="s">
        <v>1102</v>
      </c>
      <c r="F246" s="20" t="s">
        <v>1615</v>
      </c>
      <c r="G246" s="20" t="s">
        <v>760</v>
      </c>
      <c r="H246" s="20" t="s">
        <v>2478</v>
      </c>
      <c r="I246" s="20" t="s">
        <v>760</v>
      </c>
      <c r="J246" s="20" t="s">
        <v>2478</v>
      </c>
      <c r="K246" s="20" t="s">
        <v>760</v>
      </c>
      <c r="L246" s="82">
        <v>18.57</v>
      </c>
      <c r="M246" s="20" t="s">
        <v>2423</v>
      </c>
      <c r="N246" s="82">
        <v>896238.56785270001</v>
      </c>
      <c r="O246" s="20" t="s">
        <v>2477</v>
      </c>
    </row>
    <row r="247" spans="1:15" ht="24" customHeight="1" x14ac:dyDescent="0.2">
      <c r="A247" s="20" t="s">
        <v>1090</v>
      </c>
      <c r="B247" s="19" t="s">
        <v>15</v>
      </c>
      <c r="C247" s="19" t="s">
        <v>1091</v>
      </c>
      <c r="D247" s="19" t="s">
        <v>794</v>
      </c>
      <c r="E247" s="21" t="s">
        <v>32</v>
      </c>
      <c r="F247" s="20" t="s">
        <v>1836</v>
      </c>
      <c r="G247" s="20" t="s">
        <v>760</v>
      </c>
      <c r="H247" s="20" t="s">
        <v>2479</v>
      </c>
      <c r="I247" s="20" t="s">
        <v>760</v>
      </c>
      <c r="J247" s="20" t="s">
        <v>2480</v>
      </c>
      <c r="K247" s="20" t="s">
        <v>760</v>
      </c>
      <c r="L247" s="82">
        <v>17.82</v>
      </c>
      <c r="M247" s="20" t="s">
        <v>2423</v>
      </c>
      <c r="N247" s="82">
        <v>896256.38785269996</v>
      </c>
      <c r="O247" s="20" t="s">
        <v>2477</v>
      </c>
    </row>
    <row r="248" spans="1:15" ht="24" customHeight="1" x14ac:dyDescent="0.2">
      <c r="A248" s="20" t="s">
        <v>1225</v>
      </c>
      <c r="B248" s="19" t="s">
        <v>15</v>
      </c>
      <c r="C248" s="19" t="s">
        <v>1226</v>
      </c>
      <c r="D248" s="19" t="s">
        <v>794</v>
      </c>
      <c r="E248" s="21" t="s">
        <v>281</v>
      </c>
      <c r="F248" s="20" t="s">
        <v>1615</v>
      </c>
      <c r="G248" s="20" t="s">
        <v>760</v>
      </c>
      <c r="H248" s="20" t="s">
        <v>2481</v>
      </c>
      <c r="I248" s="20" t="s">
        <v>760</v>
      </c>
      <c r="J248" s="20" t="s">
        <v>2481</v>
      </c>
      <c r="K248" s="20" t="s">
        <v>760</v>
      </c>
      <c r="L248" s="82">
        <v>17.600000000000001</v>
      </c>
      <c r="M248" s="20" t="s">
        <v>2423</v>
      </c>
      <c r="N248" s="82">
        <v>896273.98785270005</v>
      </c>
      <c r="O248" s="20" t="s">
        <v>2477</v>
      </c>
    </row>
    <row r="249" spans="1:15" ht="39" customHeight="1" x14ac:dyDescent="0.2">
      <c r="A249" s="20" t="s">
        <v>1219</v>
      </c>
      <c r="B249" s="19" t="s">
        <v>15</v>
      </c>
      <c r="C249" s="19" t="s">
        <v>1220</v>
      </c>
      <c r="D249" s="19" t="s">
        <v>794</v>
      </c>
      <c r="E249" s="21" t="s">
        <v>32</v>
      </c>
      <c r="F249" s="20" t="s">
        <v>1615</v>
      </c>
      <c r="G249" s="20" t="s">
        <v>760</v>
      </c>
      <c r="H249" s="20" t="s">
        <v>2482</v>
      </c>
      <c r="I249" s="20" t="s">
        <v>760</v>
      </c>
      <c r="J249" s="20" t="s">
        <v>2482</v>
      </c>
      <c r="K249" s="20" t="s">
        <v>760</v>
      </c>
      <c r="L249" s="82">
        <v>16.600000000000001</v>
      </c>
      <c r="M249" s="20" t="s">
        <v>2423</v>
      </c>
      <c r="N249" s="82">
        <v>896290.58785270003</v>
      </c>
      <c r="O249" s="20" t="s">
        <v>2477</v>
      </c>
    </row>
    <row r="250" spans="1:15" ht="24" customHeight="1" x14ac:dyDescent="0.2">
      <c r="A250" s="20" t="s">
        <v>1158</v>
      </c>
      <c r="B250" s="19" t="s">
        <v>327</v>
      </c>
      <c r="C250" s="19" t="s">
        <v>1159</v>
      </c>
      <c r="D250" s="19" t="s">
        <v>784</v>
      </c>
      <c r="E250" s="21" t="s">
        <v>785</v>
      </c>
      <c r="F250" s="20" t="s">
        <v>2483</v>
      </c>
      <c r="G250" s="20" t="s">
        <v>760</v>
      </c>
      <c r="H250" s="20" t="s">
        <v>2358</v>
      </c>
      <c r="I250" s="20" t="s">
        <v>760</v>
      </c>
      <c r="J250" s="20" t="s">
        <v>2484</v>
      </c>
      <c r="K250" s="20" t="s">
        <v>760</v>
      </c>
      <c r="L250" s="82">
        <v>16.560279999999999</v>
      </c>
      <c r="M250" s="20" t="s">
        <v>2423</v>
      </c>
      <c r="N250" s="82">
        <v>896307.14813270001</v>
      </c>
      <c r="O250" s="20" t="s">
        <v>2485</v>
      </c>
    </row>
    <row r="251" spans="1:15" ht="24" customHeight="1" x14ac:dyDescent="0.2">
      <c r="A251" s="20" t="s">
        <v>1001</v>
      </c>
      <c r="B251" s="19" t="s">
        <v>15</v>
      </c>
      <c r="C251" s="19" t="s">
        <v>1002</v>
      </c>
      <c r="D251" s="19" t="s">
        <v>794</v>
      </c>
      <c r="E251" s="21" t="s">
        <v>134</v>
      </c>
      <c r="F251" s="20" t="s">
        <v>2486</v>
      </c>
      <c r="G251" s="20" t="s">
        <v>760</v>
      </c>
      <c r="H251" s="20" t="s">
        <v>2487</v>
      </c>
      <c r="I251" s="20" t="s">
        <v>760</v>
      </c>
      <c r="J251" s="20" t="s">
        <v>2488</v>
      </c>
      <c r="K251" s="20" t="s">
        <v>760</v>
      </c>
      <c r="L251" s="82">
        <v>15.25224</v>
      </c>
      <c r="M251" s="20" t="s">
        <v>2423</v>
      </c>
      <c r="N251" s="82">
        <v>896322.40037269995</v>
      </c>
      <c r="O251" s="20" t="s">
        <v>2485</v>
      </c>
    </row>
    <row r="252" spans="1:15" ht="26.1" customHeight="1" x14ac:dyDescent="0.2">
      <c r="A252" s="20" t="s">
        <v>1054</v>
      </c>
      <c r="B252" s="19" t="s">
        <v>31</v>
      </c>
      <c r="C252" s="19" t="s">
        <v>1055</v>
      </c>
      <c r="D252" s="19" t="s">
        <v>794</v>
      </c>
      <c r="E252" s="21" t="s">
        <v>1056</v>
      </c>
      <c r="F252" s="20" t="s">
        <v>2489</v>
      </c>
      <c r="G252" s="20" t="s">
        <v>760</v>
      </c>
      <c r="H252" s="20" t="s">
        <v>2490</v>
      </c>
      <c r="I252" s="20" t="s">
        <v>760</v>
      </c>
      <c r="J252" s="20" t="s">
        <v>2491</v>
      </c>
      <c r="K252" s="20" t="s">
        <v>760</v>
      </c>
      <c r="L252" s="82">
        <v>14.761005000000001</v>
      </c>
      <c r="M252" s="20" t="s">
        <v>2423</v>
      </c>
      <c r="N252" s="82">
        <v>896337.16137770005</v>
      </c>
      <c r="O252" s="20" t="s">
        <v>2485</v>
      </c>
    </row>
    <row r="253" spans="1:15" ht="26.1" customHeight="1" x14ac:dyDescent="0.2">
      <c r="A253" s="20" t="s">
        <v>2492</v>
      </c>
      <c r="B253" s="19" t="s">
        <v>31</v>
      </c>
      <c r="C253" s="19" t="s">
        <v>2493</v>
      </c>
      <c r="D253" s="19" t="s">
        <v>784</v>
      </c>
      <c r="E253" s="21" t="s">
        <v>785</v>
      </c>
      <c r="F253" s="20" t="s">
        <v>2494</v>
      </c>
      <c r="G253" s="20" t="s">
        <v>760</v>
      </c>
      <c r="H253" s="20" t="s">
        <v>2495</v>
      </c>
      <c r="I253" s="20" t="s">
        <v>760</v>
      </c>
      <c r="J253" s="20" t="s">
        <v>2496</v>
      </c>
      <c r="K253" s="20" t="s">
        <v>760</v>
      </c>
      <c r="L253" s="82">
        <v>13.02064296</v>
      </c>
      <c r="M253" s="20" t="s">
        <v>2423</v>
      </c>
      <c r="N253" s="82">
        <v>896350.18202069995</v>
      </c>
      <c r="O253" s="20" t="s">
        <v>2485</v>
      </c>
    </row>
    <row r="254" spans="1:15" ht="24" customHeight="1" x14ac:dyDescent="0.2">
      <c r="A254" s="20" t="s">
        <v>1161</v>
      </c>
      <c r="B254" s="19" t="s">
        <v>327</v>
      </c>
      <c r="C254" s="19" t="s">
        <v>1162</v>
      </c>
      <c r="D254" s="19" t="s">
        <v>794</v>
      </c>
      <c r="E254" s="21" t="s">
        <v>50</v>
      </c>
      <c r="F254" s="20" t="s">
        <v>2497</v>
      </c>
      <c r="G254" s="20" t="s">
        <v>760</v>
      </c>
      <c r="H254" s="20" t="s">
        <v>2498</v>
      </c>
      <c r="I254" s="20" t="s">
        <v>760</v>
      </c>
      <c r="J254" s="20" t="s">
        <v>2499</v>
      </c>
      <c r="K254" s="20" t="s">
        <v>760</v>
      </c>
      <c r="L254" s="82">
        <v>12.944428</v>
      </c>
      <c r="M254" s="20" t="s">
        <v>2423</v>
      </c>
      <c r="N254" s="82">
        <v>896363.12644869997</v>
      </c>
      <c r="O254" s="20" t="s">
        <v>2485</v>
      </c>
    </row>
    <row r="255" spans="1:15" ht="24" customHeight="1" x14ac:dyDescent="0.2">
      <c r="A255" s="20" t="s">
        <v>1165</v>
      </c>
      <c r="B255" s="19" t="s">
        <v>327</v>
      </c>
      <c r="C255" s="19" t="s">
        <v>1166</v>
      </c>
      <c r="D255" s="19" t="s">
        <v>794</v>
      </c>
      <c r="E255" s="21" t="s">
        <v>134</v>
      </c>
      <c r="F255" s="20" t="s">
        <v>2500</v>
      </c>
      <c r="G255" s="20" t="s">
        <v>760</v>
      </c>
      <c r="H255" s="20" t="s">
        <v>1547</v>
      </c>
      <c r="I255" s="20" t="s">
        <v>760</v>
      </c>
      <c r="J255" s="20" t="s">
        <v>2501</v>
      </c>
      <c r="K255" s="20" t="s">
        <v>760</v>
      </c>
      <c r="L255" s="82">
        <v>12.814109</v>
      </c>
      <c r="M255" s="20" t="s">
        <v>2423</v>
      </c>
      <c r="N255" s="82">
        <v>896375.9405577</v>
      </c>
      <c r="O255" s="20" t="s">
        <v>2485</v>
      </c>
    </row>
    <row r="256" spans="1:15" ht="24" customHeight="1" x14ac:dyDescent="0.2">
      <c r="A256" s="20" t="s">
        <v>1086</v>
      </c>
      <c r="B256" s="19" t="s">
        <v>15</v>
      </c>
      <c r="C256" s="19" t="s">
        <v>1087</v>
      </c>
      <c r="D256" s="19" t="s">
        <v>794</v>
      </c>
      <c r="E256" s="21" t="s">
        <v>32</v>
      </c>
      <c r="F256" s="20" t="s">
        <v>2502</v>
      </c>
      <c r="G256" s="20" t="s">
        <v>760</v>
      </c>
      <c r="H256" s="20" t="s">
        <v>2503</v>
      </c>
      <c r="I256" s="20" t="s">
        <v>760</v>
      </c>
      <c r="J256" s="20" t="s">
        <v>2504</v>
      </c>
      <c r="K256" s="20" t="s">
        <v>760</v>
      </c>
      <c r="L256" s="82">
        <v>12.474</v>
      </c>
      <c r="M256" s="20" t="s">
        <v>2423</v>
      </c>
      <c r="N256" s="82">
        <v>896388.41455770005</v>
      </c>
      <c r="O256" s="20" t="s">
        <v>2505</v>
      </c>
    </row>
    <row r="257" spans="1:15" ht="26.1" customHeight="1" x14ac:dyDescent="0.2">
      <c r="A257" s="20" t="s">
        <v>2506</v>
      </c>
      <c r="B257" s="19" t="s">
        <v>31</v>
      </c>
      <c r="C257" s="19" t="s">
        <v>2507</v>
      </c>
      <c r="D257" s="19" t="s">
        <v>1317</v>
      </c>
      <c r="E257" s="21" t="s">
        <v>785</v>
      </c>
      <c r="F257" s="20" t="s">
        <v>2508</v>
      </c>
      <c r="G257" s="20" t="s">
        <v>760</v>
      </c>
      <c r="H257" s="20" t="s">
        <v>2509</v>
      </c>
      <c r="I257" s="20" t="s">
        <v>760</v>
      </c>
      <c r="J257" s="20" t="s">
        <v>2510</v>
      </c>
      <c r="K257" s="20" t="s">
        <v>760</v>
      </c>
      <c r="L257" s="82">
        <v>12.299770000000001</v>
      </c>
      <c r="M257" s="20" t="s">
        <v>2423</v>
      </c>
      <c r="N257" s="82">
        <v>896400.71432769997</v>
      </c>
      <c r="O257" s="20" t="s">
        <v>2505</v>
      </c>
    </row>
    <row r="258" spans="1:15" ht="26.1" customHeight="1" x14ac:dyDescent="0.2">
      <c r="A258" s="20" t="s">
        <v>1068</v>
      </c>
      <c r="B258" s="19" t="s">
        <v>31</v>
      </c>
      <c r="C258" s="19" t="s">
        <v>1069</v>
      </c>
      <c r="D258" s="19" t="s">
        <v>794</v>
      </c>
      <c r="E258" s="21" t="s">
        <v>78</v>
      </c>
      <c r="F258" s="20" t="s">
        <v>2511</v>
      </c>
      <c r="G258" s="20" t="s">
        <v>760</v>
      </c>
      <c r="H258" s="20" t="s">
        <v>2512</v>
      </c>
      <c r="I258" s="20" t="s">
        <v>760</v>
      </c>
      <c r="J258" s="20" t="s">
        <v>2513</v>
      </c>
      <c r="K258" s="20" t="s">
        <v>760</v>
      </c>
      <c r="L258" s="82">
        <v>12.159048</v>
      </c>
      <c r="M258" s="20" t="s">
        <v>2423</v>
      </c>
      <c r="N258" s="82">
        <v>896412.87337569997</v>
      </c>
      <c r="O258" s="20" t="s">
        <v>2505</v>
      </c>
    </row>
    <row r="259" spans="1:15" ht="24" customHeight="1" x14ac:dyDescent="0.2">
      <c r="A259" s="20" t="s">
        <v>1127</v>
      </c>
      <c r="B259" s="19" t="s">
        <v>275</v>
      </c>
      <c r="C259" s="19" t="s">
        <v>1128</v>
      </c>
      <c r="D259" s="19" t="s">
        <v>784</v>
      </c>
      <c r="E259" s="21" t="s">
        <v>785</v>
      </c>
      <c r="F259" s="20" t="s">
        <v>2514</v>
      </c>
      <c r="G259" s="20" t="s">
        <v>760</v>
      </c>
      <c r="H259" s="20" t="s">
        <v>2515</v>
      </c>
      <c r="I259" s="20" t="s">
        <v>760</v>
      </c>
      <c r="J259" s="20" t="s">
        <v>2516</v>
      </c>
      <c r="K259" s="20" t="s">
        <v>760</v>
      </c>
      <c r="L259" s="82">
        <v>11.9</v>
      </c>
      <c r="M259" s="20" t="s">
        <v>2423</v>
      </c>
      <c r="N259" s="82">
        <v>896424.7733757</v>
      </c>
      <c r="O259" s="20" t="s">
        <v>2505</v>
      </c>
    </row>
    <row r="260" spans="1:15" ht="26.1" customHeight="1" x14ac:dyDescent="0.2">
      <c r="A260" s="20" t="s">
        <v>1114</v>
      </c>
      <c r="B260" s="19" t="s">
        <v>31</v>
      </c>
      <c r="C260" s="19" t="s">
        <v>1115</v>
      </c>
      <c r="D260" s="19" t="s">
        <v>794</v>
      </c>
      <c r="E260" s="21" t="s">
        <v>5</v>
      </c>
      <c r="F260" s="20" t="s">
        <v>2517</v>
      </c>
      <c r="G260" s="20" t="s">
        <v>760</v>
      </c>
      <c r="H260" s="20" t="s">
        <v>2518</v>
      </c>
      <c r="I260" s="20" t="s">
        <v>760</v>
      </c>
      <c r="J260" s="20" t="s">
        <v>2519</v>
      </c>
      <c r="K260" s="20" t="s">
        <v>760</v>
      </c>
      <c r="L260" s="82">
        <v>11.81124</v>
      </c>
      <c r="M260" s="20" t="s">
        <v>2423</v>
      </c>
      <c r="N260" s="82">
        <v>896436.58461569995</v>
      </c>
      <c r="O260" s="20" t="s">
        <v>2505</v>
      </c>
    </row>
    <row r="261" spans="1:15" ht="24" customHeight="1" x14ac:dyDescent="0.2">
      <c r="A261" s="20" t="s">
        <v>925</v>
      </c>
      <c r="B261" s="19" t="s">
        <v>15</v>
      </c>
      <c r="C261" s="19" t="s">
        <v>926</v>
      </c>
      <c r="D261" s="19" t="s">
        <v>794</v>
      </c>
      <c r="E261" s="21" t="s">
        <v>50</v>
      </c>
      <c r="F261" s="20" t="s">
        <v>2520</v>
      </c>
      <c r="G261" s="20" t="s">
        <v>760</v>
      </c>
      <c r="H261" s="20" t="s">
        <v>2521</v>
      </c>
      <c r="I261" s="20" t="s">
        <v>760</v>
      </c>
      <c r="J261" s="20" t="s">
        <v>2522</v>
      </c>
      <c r="K261" s="20" t="s">
        <v>760</v>
      </c>
      <c r="L261" s="82">
        <v>11.393739500000001</v>
      </c>
      <c r="M261" s="20" t="s">
        <v>2423</v>
      </c>
      <c r="N261" s="82">
        <v>896447.97835520003</v>
      </c>
      <c r="O261" s="20" t="s">
        <v>2505</v>
      </c>
    </row>
    <row r="262" spans="1:15" ht="24" customHeight="1" x14ac:dyDescent="0.2">
      <c r="A262" s="20" t="s">
        <v>1228</v>
      </c>
      <c r="B262" s="19" t="s">
        <v>240</v>
      </c>
      <c r="C262" s="19" t="s">
        <v>1229</v>
      </c>
      <c r="D262" s="19" t="s">
        <v>794</v>
      </c>
      <c r="E262" s="21" t="s">
        <v>78</v>
      </c>
      <c r="F262" s="20" t="s">
        <v>2523</v>
      </c>
      <c r="G262" s="20" t="s">
        <v>760</v>
      </c>
      <c r="H262" s="20" t="s">
        <v>2524</v>
      </c>
      <c r="I262" s="20" t="s">
        <v>760</v>
      </c>
      <c r="J262" s="20" t="s">
        <v>2525</v>
      </c>
      <c r="K262" s="20" t="s">
        <v>760</v>
      </c>
      <c r="L262" s="82">
        <v>11.352</v>
      </c>
      <c r="M262" s="20" t="s">
        <v>2423</v>
      </c>
      <c r="N262" s="82">
        <v>896459.33035519999</v>
      </c>
      <c r="O262" s="20" t="s">
        <v>2505</v>
      </c>
    </row>
    <row r="263" spans="1:15" ht="24" customHeight="1" x14ac:dyDescent="0.2">
      <c r="A263" s="20" t="s">
        <v>1096</v>
      </c>
      <c r="B263" s="19" t="s">
        <v>15</v>
      </c>
      <c r="C263" s="19" t="s">
        <v>1097</v>
      </c>
      <c r="D263" s="19" t="s">
        <v>794</v>
      </c>
      <c r="E263" s="21" t="s">
        <v>32</v>
      </c>
      <c r="F263" s="20" t="s">
        <v>1615</v>
      </c>
      <c r="G263" s="20" t="s">
        <v>760</v>
      </c>
      <c r="H263" s="20" t="s">
        <v>2526</v>
      </c>
      <c r="I263" s="20" t="s">
        <v>760</v>
      </c>
      <c r="J263" s="20" t="s">
        <v>2526</v>
      </c>
      <c r="K263" s="20" t="s">
        <v>760</v>
      </c>
      <c r="L263" s="82">
        <v>11.19</v>
      </c>
      <c r="M263" s="20" t="s">
        <v>2423</v>
      </c>
      <c r="N263" s="82">
        <v>896470.52035520005</v>
      </c>
      <c r="O263" s="20" t="s">
        <v>2505</v>
      </c>
    </row>
    <row r="264" spans="1:15" ht="24" customHeight="1" x14ac:dyDescent="0.2">
      <c r="A264" s="20" t="s">
        <v>1163</v>
      </c>
      <c r="B264" s="19" t="s">
        <v>327</v>
      </c>
      <c r="C264" s="19" t="s">
        <v>1164</v>
      </c>
      <c r="D264" s="19" t="s">
        <v>794</v>
      </c>
      <c r="E264" s="21" t="s">
        <v>134</v>
      </c>
      <c r="F264" s="20" t="s">
        <v>2527</v>
      </c>
      <c r="G264" s="20" t="s">
        <v>760</v>
      </c>
      <c r="H264" s="20" t="s">
        <v>1866</v>
      </c>
      <c r="I264" s="20" t="s">
        <v>760</v>
      </c>
      <c r="J264" s="20" t="s">
        <v>2528</v>
      </c>
      <c r="K264" s="20" t="s">
        <v>760</v>
      </c>
      <c r="L264" s="82">
        <v>10.776132</v>
      </c>
      <c r="M264" s="20" t="s">
        <v>2423</v>
      </c>
      <c r="N264" s="82">
        <v>896481.29648719996</v>
      </c>
      <c r="O264" s="20" t="s">
        <v>2529</v>
      </c>
    </row>
    <row r="265" spans="1:15" ht="24" customHeight="1" x14ac:dyDescent="0.2">
      <c r="A265" s="20" t="s">
        <v>2530</v>
      </c>
      <c r="B265" s="19" t="s">
        <v>31</v>
      </c>
      <c r="C265" s="19" t="s">
        <v>2531</v>
      </c>
      <c r="D265" s="19" t="s">
        <v>784</v>
      </c>
      <c r="E265" s="21" t="s">
        <v>785</v>
      </c>
      <c r="F265" s="20" t="s">
        <v>2532</v>
      </c>
      <c r="G265" s="20" t="s">
        <v>760</v>
      </c>
      <c r="H265" s="20" t="s">
        <v>2533</v>
      </c>
      <c r="I265" s="20" t="s">
        <v>760</v>
      </c>
      <c r="J265" s="20" t="s">
        <v>2534</v>
      </c>
      <c r="K265" s="20" t="s">
        <v>760</v>
      </c>
      <c r="L265" s="82">
        <v>10.214167789999999</v>
      </c>
      <c r="M265" s="20" t="s">
        <v>2423</v>
      </c>
      <c r="N265" s="82">
        <v>896491.51065499999</v>
      </c>
      <c r="O265" s="20" t="s">
        <v>2529</v>
      </c>
    </row>
    <row r="266" spans="1:15" ht="26.1" customHeight="1" x14ac:dyDescent="0.2">
      <c r="A266" s="20" t="s">
        <v>1282</v>
      </c>
      <c r="B266" s="19" t="s">
        <v>15</v>
      </c>
      <c r="C266" s="19" t="s">
        <v>1283</v>
      </c>
      <c r="D266" s="19" t="s">
        <v>794</v>
      </c>
      <c r="E266" s="21" t="s">
        <v>134</v>
      </c>
      <c r="F266" s="20" t="s">
        <v>2535</v>
      </c>
      <c r="G266" s="20" t="s">
        <v>760</v>
      </c>
      <c r="H266" s="20" t="s">
        <v>2536</v>
      </c>
      <c r="I266" s="20" t="s">
        <v>760</v>
      </c>
      <c r="J266" s="20" t="s">
        <v>2537</v>
      </c>
      <c r="K266" s="20" t="s">
        <v>760</v>
      </c>
      <c r="L266" s="82">
        <v>10.160802</v>
      </c>
      <c r="M266" s="20" t="s">
        <v>2423</v>
      </c>
      <c r="N266" s="82">
        <v>896501.67145699996</v>
      </c>
      <c r="O266" s="20" t="s">
        <v>2529</v>
      </c>
    </row>
    <row r="267" spans="1:15" ht="24" customHeight="1" x14ac:dyDescent="0.2">
      <c r="A267" s="20" t="s">
        <v>1179</v>
      </c>
      <c r="B267" s="19" t="s">
        <v>327</v>
      </c>
      <c r="C267" s="19" t="s">
        <v>1180</v>
      </c>
      <c r="D267" s="19" t="s">
        <v>794</v>
      </c>
      <c r="E267" s="21" t="s">
        <v>720</v>
      </c>
      <c r="F267" s="20" t="s">
        <v>2538</v>
      </c>
      <c r="G267" s="20" t="s">
        <v>760</v>
      </c>
      <c r="H267" s="20" t="s">
        <v>2539</v>
      </c>
      <c r="I267" s="20" t="s">
        <v>760</v>
      </c>
      <c r="J267" s="20" t="s">
        <v>2540</v>
      </c>
      <c r="K267" s="20" t="s">
        <v>760</v>
      </c>
      <c r="L267" s="82">
        <v>8.6991359999999993</v>
      </c>
      <c r="M267" s="20" t="s">
        <v>2423</v>
      </c>
      <c r="N267" s="82">
        <v>896510.37059299997</v>
      </c>
      <c r="O267" s="20" t="s">
        <v>2529</v>
      </c>
    </row>
    <row r="268" spans="1:15" ht="24" customHeight="1" x14ac:dyDescent="0.2">
      <c r="A268" s="20" t="s">
        <v>1202</v>
      </c>
      <c r="B268" s="19" t="s">
        <v>15</v>
      </c>
      <c r="C268" s="19" t="s">
        <v>356</v>
      </c>
      <c r="D268" s="19" t="s">
        <v>794</v>
      </c>
      <c r="E268" s="21" t="s">
        <v>32</v>
      </c>
      <c r="F268" s="20" t="s">
        <v>1615</v>
      </c>
      <c r="G268" s="20" t="s">
        <v>760</v>
      </c>
      <c r="H268" s="20" t="s">
        <v>2541</v>
      </c>
      <c r="I268" s="20" t="s">
        <v>760</v>
      </c>
      <c r="J268" s="20" t="s">
        <v>2541</v>
      </c>
      <c r="K268" s="20" t="s">
        <v>760</v>
      </c>
      <c r="L268" s="82">
        <v>8.43</v>
      </c>
      <c r="M268" s="20" t="s">
        <v>2423</v>
      </c>
      <c r="N268" s="82">
        <v>896518.80059300002</v>
      </c>
      <c r="O268" s="20" t="s">
        <v>2529</v>
      </c>
    </row>
    <row r="269" spans="1:15" ht="26.1" customHeight="1" x14ac:dyDescent="0.2">
      <c r="A269" s="20" t="s">
        <v>1203</v>
      </c>
      <c r="B269" s="19" t="s">
        <v>15</v>
      </c>
      <c r="C269" s="19" t="s">
        <v>1204</v>
      </c>
      <c r="D269" s="19" t="s">
        <v>794</v>
      </c>
      <c r="E269" s="21" t="s">
        <v>32</v>
      </c>
      <c r="F269" s="20" t="s">
        <v>1836</v>
      </c>
      <c r="G269" s="20" t="s">
        <v>760</v>
      </c>
      <c r="H269" s="20" t="s">
        <v>2542</v>
      </c>
      <c r="I269" s="20" t="s">
        <v>760</v>
      </c>
      <c r="J269" s="20" t="s">
        <v>2543</v>
      </c>
      <c r="K269" s="20" t="s">
        <v>760</v>
      </c>
      <c r="L269" s="82">
        <v>7.64</v>
      </c>
      <c r="M269" s="20" t="s">
        <v>2423</v>
      </c>
      <c r="N269" s="82">
        <v>896526.44059300004</v>
      </c>
      <c r="O269" s="20" t="s">
        <v>2529</v>
      </c>
    </row>
    <row r="270" spans="1:15" ht="24" customHeight="1" x14ac:dyDescent="0.2">
      <c r="A270" s="20" t="s">
        <v>1189</v>
      </c>
      <c r="B270" s="19" t="s">
        <v>15</v>
      </c>
      <c r="C270" s="19" t="s">
        <v>1190</v>
      </c>
      <c r="D270" s="19" t="s">
        <v>794</v>
      </c>
      <c r="E270" s="21" t="s">
        <v>78</v>
      </c>
      <c r="F270" s="20" t="s">
        <v>2544</v>
      </c>
      <c r="G270" s="20" t="s">
        <v>760</v>
      </c>
      <c r="H270" s="20" t="s">
        <v>2545</v>
      </c>
      <c r="I270" s="20" t="s">
        <v>760</v>
      </c>
      <c r="J270" s="20" t="s">
        <v>2546</v>
      </c>
      <c r="K270" s="20" t="s">
        <v>760</v>
      </c>
      <c r="L270" s="82">
        <v>7.1224499999999997</v>
      </c>
      <c r="M270" s="20" t="s">
        <v>2423</v>
      </c>
      <c r="N270" s="82">
        <v>896533.56304299994</v>
      </c>
      <c r="O270" s="20" t="s">
        <v>2529</v>
      </c>
    </row>
    <row r="271" spans="1:15" ht="24" customHeight="1" x14ac:dyDescent="0.2">
      <c r="A271" s="20" t="s">
        <v>1181</v>
      </c>
      <c r="B271" s="19" t="s">
        <v>327</v>
      </c>
      <c r="C271" s="19" t="s">
        <v>1182</v>
      </c>
      <c r="D271" s="19" t="s">
        <v>794</v>
      </c>
      <c r="E271" s="21" t="s">
        <v>720</v>
      </c>
      <c r="F271" s="20" t="s">
        <v>2547</v>
      </c>
      <c r="G271" s="20" t="s">
        <v>760</v>
      </c>
      <c r="H271" s="20" t="s">
        <v>1995</v>
      </c>
      <c r="I271" s="20" t="s">
        <v>760</v>
      </c>
      <c r="J271" s="20" t="s">
        <v>2548</v>
      </c>
      <c r="K271" s="20" t="s">
        <v>760</v>
      </c>
      <c r="L271" s="82">
        <v>5.5098099999999999</v>
      </c>
      <c r="M271" s="20" t="s">
        <v>2423</v>
      </c>
      <c r="N271" s="82">
        <v>896539.07285300002</v>
      </c>
      <c r="O271" s="20" t="s">
        <v>2529</v>
      </c>
    </row>
    <row r="272" spans="1:15" ht="26.1" customHeight="1" x14ac:dyDescent="0.2">
      <c r="A272" s="20" t="s">
        <v>1171</v>
      </c>
      <c r="B272" s="19" t="s">
        <v>327</v>
      </c>
      <c r="C272" s="19" t="s">
        <v>1172</v>
      </c>
      <c r="D272" s="19" t="s">
        <v>794</v>
      </c>
      <c r="E272" s="21" t="s">
        <v>5</v>
      </c>
      <c r="F272" s="20" t="s">
        <v>2549</v>
      </c>
      <c r="G272" s="20" t="s">
        <v>760</v>
      </c>
      <c r="H272" s="20" t="s">
        <v>2550</v>
      </c>
      <c r="I272" s="20" t="s">
        <v>760</v>
      </c>
      <c r="J272" s="20" t="s">
        <v>2551</v>
      </c>
      <c r="K272" s="20" t="s">
        <v>760</v>
      </c>
      <c r="L272" s="82">
        <v>5.218</v>
      </c>
      <c r="M272" s="20" t="s">
        <v>2423</v>
      </c>
      <c r="N272" s="82">
        <v>896544.29085300001</v>
      </c>
      <c r="O272" s="20" t="s">
        <v>2529</v>
      </c>
    </row>
    <row r="273" spans="1:15" ht="24" customHeight="1" x14ac:dyDescent="0.2">
      <c r="A273" s="20" t="s">
        <v>1173</v>
      </c>
      <c r="B273" s="19" t="s">
        <v>327</v>
      </c>
      <c r="C273" s="19" t="s">
        <v>1174</v>
      </c>
      <c r="D273" s="19" t="s">
        <v>794</v>
      </c>
      <c r="E273" s="21" t="s">
        <v>134</v>
      </c>
      <c r="F273" s="20" t="s">
        <v>2552</v>
      </c>
      <c r="G273" s="20" t="s">
        <v>760</v>
      </c>
      <c r="H273" s="20" t="s">
        <v>1567</v>
      </c>
      <c r="I273" s="20" t="s">
        <v>760</v>
      </c>
      <c r="J273" s="20" t="s">
        <v>2553</v>
      </c>
      <c r="K273" s="20" t="s">
        <v>760</v>
      </c>
      <c r="L273" s="82">
        <v>5.1770399999999999</v>
      </c>
      <c r="M273" s="20" t="s">
        <v>2423</v>
      </c>
      <c r="N273" s="82">
        <v>896549.46789299999</v>
      </c>
      <c r="O273" s="20" t="s">
        <v>2529</v>
      </c>
    </row>
    <row r="274" spans="1:15" ht="24" customHeight="1" x14ac:dyDescent="0.2">
      <c r="A274" s="20" t="s">
        <v>1169</v>
      </c>
      <c r="B274" s="19" t="s">
        <v>327</v>
      </c>
      <c r="C274" s="19" t="s">
        <v>1170</v>
      </c>
      <c r="D274" s="19" t="s">
        <v>794</v>
      </c>
      <c r="E274" s="21" t="s">
        <v>78</v>
      </c>
      <c r="F274" s="20" t="s">
        <v>2554</v>
      </c>
      <c r="G274" s="20" t="s">
        <v>760</v>
      </c>
      <c r="H274" s="20" t="s">
        <v>2555</v>
      </c>
      <c r="I274" s="20" t="s">
        <v>760</v>
      </c>
      <c r="J274" s="20" t="s">
        <v>2556</v>
      </c>
      <c r="K274" s="20" t="s">
        <v>760</v>
      </c>
      <c r="L274" s="82">
        <v>4.5393127</v>
      </c>
      <c r="M274" s="20" t="s">
        <v>2423</v>
      </c>
      <c r="N274" s="82">
        <v>896554.00720570004</v>
      </c>
      <c r="O274" s="20" t="s">
        <v>2529</v>
      </c>
    </row>
    <row r="275" spans="1:15" ht="26.1" customHeight="1" x14ac:dyDescent="0.2">
      <c r="A275" s="20" t="s">
        <v>2557</v>
      </c>
      <c r="B275" s="19" t="s">
        <v>31</v>
      </c>
      <c r="C275" s="19" t="s">
        <v>2558</v>
      </c>
      <c r="D275" s="19" t="s">
        <v>1317</v>
      </c>
      <c r="E275" s="21" t="s">
        <v>785</v>
      </c>
      <c r="F275" s="20" t="s">
        <v>2559</v>
      </c>
      <c r="G275" s="20" t="s">
        <v>760</v>
      </c>
      <c r="H275" s="20" t="s">
        <v>2094</v>
      </c>
      <c r="I275" s="20" t="s">
        <v>760</v>
      </c>
      <c r="J275" s="20" t="s">
        <v>2560</v>
      </c>
      <c r="K275" s="20" t="s">
        <v>760</v>
      </c>
      <c r="L275" s="82">
        <v>4.4053279999999999</v>
      </c>
      <c r="M275" s="20" t="s">
        <v>2423</v>
      </c>
      <c r="N275" s="82">
        <v>896558.4125337</v>
      </c>
      <c r="O275" s="20" t="s">
        <v>2529</v>
      </c>
    </row>
    <row r="276" spans="1:15" ht="24" customHeight="1" x14ac:dyDescent="0.2">
      <c r="A276" s="20" t="s">
        <v>1201</v>
      </c>
      <c r="B276" s="19" t="s">
        <v>15</v>
      </c>
      <c r="C276" s="19" t="s">
        <v>353</v>
      </c>
      <c r="D276" s="19" t="s">
        <v>794</v>
      </c>
      <c r="E276" s="21" t="s">
        <v>32</v>
      </c>
      <c r="F276" s="20" t="s">
        <v>1615</v>
      </c>
      <c r="G276" s="20" t="s">
        <v>760</v>
      </c>
      <c r="H276" s="20" t="s">
        <v>2561</v>
      </c>
      <c r="I276" s="20" t="s">
        <v>760</v>
      </c>
      <c r="J276" s="20" t="s">
        <v>2561</v>
      </c>
      <c r="K276" s="20" t="s">
        <v>760</v>
      </c>
      <c r="L276" s="82">
        <v>4.3899999999999997</v>
      </c>
      <c r="M276" s="20" t="s">
        <v>2423</v>
      </c>
      <c r="N276" s="82">
        <v>896562.80253370001</v>
      </c>
      <c r="O276" s="20" t="s">
        <v>2529</v>
      </c>
    </row>
    <row r="277" spans="1:15" ht="24" customHeight="1" x14ac:dyDescent="0.2">
      <c r="A277" s="20" t="s">
        <v>999</v>
      </c>
      <c r="B277" s="19" t="s">
        <v>15</v>
      </c>
      <c r="C277" s="19" t="s">
        <v>1000</v>
      </c>
      <c r="D277" s="19" t="s">
        <v>794</v>
      </c>
      <c r="E277" s="21" t="s">
        <v>32</v>
      </c>
      <c r="F277" s="20" t="s">
        <v>1836</v>
      </c>
      <c r="G277" s="20" t="s">
        <v>760</v>
      </c>
      <c r="H277" s="20" t="s">
        <v>2562</v>
      </c>
      <c r="I277" s="20" t="s">
        <v>760</v>
      </c>
      <c r="J277" s="20" t="s">
        <v>2563</v>
      </c>
      <c r="K277" s="20" t="s">
        <v>760</v>
      </c>
      <c r="L277" s="82">
        <v>4.26</v>
      </c>
      <c r="M277" s="20" t="s">
        <v>2423</v>
      </c>
      <c r="N277" s="82">
        <v>896567.06253370002</v>
      </c>
      <c r="O277" s="20" t="s">
        <v>2564</v>
      </c>
    </row>
    <row r="278" spans="1:15" ht="26.1" customHeight="1" x14ac:dyDescent="0.2">
      <c r="A278" s="20" t="s">
        <v>1070</v>
      </c>
      <c r="B278" s="19" t="s">
        <v>31</v>
      </c>
      <c r="C278" s="19" t="s">
        <v>1071</v>
      </c>
      <c r="D278" s="19" t="s">
        <v>794</v>
      </c>
      <c r="E278" s="21" t="s">
        <v>78</v>
      </c>
      <c r="F278" s="20" t="s">
        <v>2565</v>
      </c>
      <c r="G278" s="20" t="s">
        <v>760</v>
      </c>
      <c r="H278" s="20" t="s">
        <v>2566</v>
      </c>
      <c r="I278" s="20" t="s">
        <v>760</v>
      </c>
      <c r="J278" s="20" t="s">
        <v>2567</v>
      </c>
      <c r="K278" s="20" t="s">
        <v>760</v>
      </c>
      <c r="L278" s="82">
        <v>3.8339729999999999</v>
      </c>
      <c r="M278" s="20" t="s">
        <v>2423</v>
      </c>
      <c r="N278" s="82">
        <v>896570.89650669997</v>
      </c>
      <c r="O278" s="20" t="s">
        <v>2564</v>
      </c>
    </row>
    <row r="279" spans="1:15" ht="26.1" customHeight="1" x14ac:dyDescent="0.2">
      <c r="A279" s="20" t="s">
        <v>2568</v>
      </c>
      <c r="B279" s="19" t="s">
        <v>31</v>
      </c>
      <c r="C279" s="19" t="s">
        <v>2569</v>
      </c>
      <c r="D279" s="19" t="s">
        <v>1317</v>
      </c>
      <c r="E279" s="21" t="s">
        <v>785</v>
      </c>
      <c r="F279" s="20" t="s">
        <v>2570</v>
      </c>
      <c r="G279" s="20" t="s">
        <v>760</v>
      </c>
      <c r="H279" s="20" t="s">
        <v>2571</v>
      </c>
      <c r="I279" s="20" t="s">
        <v>760</v>
      </c>
      <c r="J279" s="20" t="s">
        <v>2572</v>
      </c>
      <c r="K279" s="20" t="s">
        <v>760</v>
      </c>
      <c r="L279" s="82">
        <v>3.7060885859999999</v>
      </c>
      <c r="M279" s="20" t="s">
        <v>2423</v>
      </c>
      <c r="N279" s="82">
        <v>896574.60259529995</v>
      </c>
      <c r="O279" s="20" t="s">
        <v>2564</v>
      </c>
    </row>
    <row r="280" spans="1:15" ht="26.1" customHeight="1" x14ac:dyDescent="0.2">
      <c r="A280" s="20" t="s">
        <v>2573</v>
      </c>
      <c r="B280" s="19" t="s">
        <v>31</v>
      </c>
      <c r="C280" s="19" t="s">
        <v>2574</v>
      </c>
      <c r="D280" s="19" t="s">
        <v>1317</v>
      </c>
      <c r="E280" s="21" t="s">
        <v>785</v>
      </c>
      <c r="F280" s="20" t="s">
        <v>2508</v>
      </c>
      <c r="G280" s="20" t="s">
        <v>760</v>
      </c>
      <c r="H280" s="20" t="s">
        <v>2373</v>
      </c>
      <c r="I280" s="20" t="s">
        <v>760</v>
      </c>
      <c r="J280" s="20" t="s">
        <v>2566</v>
      </c>
      <c r="K280" s="20" t="s">
        <v>760</v>
      </c>
      <c r="L280" s="82">
        <v>3.308214</v>
      </c>
      <c r="M280" s="20" t="s">
        <v>2423</v>
      </c>
      <c r="N280" s="82">
        <v>896577.91080930002</v>
      </c>
      <c r="O280" s="20" t="s">
        <v>2564</v>
      </c>
    </row>
    <row r="281" spans="1:15" ht="24" customHeight="1" x14ac:dyDescent="0.2">
      <c r="A281" s="20" t="s">
        <v>937</v>
      </c>
      <c r="B281" s="19" t="s">
        <v>15</v>
      </c>
      <c r="C281" s="19" t="s">
        <v>938</v>
      </c>
      <c r="D281" s="19" t="s">
        <v>794</v>
      </c>
      <c r="E281" s="21" t="s">
        <v>32</v>
      </c>
      <c r="F281" s="20" t="s">
        <v>2575</v>
      </c>
      <c r="G281" s="20" t="s">
        <v>760</v>
      </c>
      <c r="H281" s="20" t="s">
        <v>2576</v>
      </c>
      <c r="I281" s="20" t="s">
        <v>760</v>
      </c>
      <c r="J281" s="20" t="s">
        <v>2577</v>
      </c>
      <c r="K281" s="20" t="s">
        <v>760</v>
      </c>
      <c r="L281" s="82">
        <v>2.6334126000000002</v>
      </c>
      <c r="M281" s="20" t="s">
        <v>2423</v>
      </c>
      <c r="N281" s="82">
        <v>896580.54422190005</v>
      </c>
      <c r="O281" s="20" t="s">
        <v>2564</v>
      </c>
    </row>
    <row r="282" spans="1:15" ht="24" customHeight="1" x14ac:dyDescent="0.2">
      <c r="A282" s="20" t="s">
        <v>1167</v>
      </c>
      <c r="B282" s="19" t="s">
        <v>327</v>
      </c>
      <c r="C282" s="19" t="s">
        <v>1168</v>
      </c>
      <c r="D282" s="19" t="s">
        <v>794</v>
      </c>
      <c r="E282" s="21" t="s">
        <v>50</v>
      </c>
      <c r="F282" s="20" t="s">
        <v>2578</v>
      </c>
      <c r="G282" s="20" t="s">
        <v>760</v>
      </c>
      <c r="H282" s="20" t="s">
        <v>2222</v>
      </c>
      <c r="I282" s="20" t="s">
        <v>760</v>
      </c>
      <c r="J282" s="20" t="s">
        <v>2579</v>
      </c>
      <c r="K282" s="20" t="s">
        <v>760</v>
      </c>
      <c r="L282" s="82">
        <v>2.3378698</v>
      </c>
      <c r="M282" s="20" t="s">
        <v>2423</v>
      </c>
      <c r="N282" s="82">
        <v>896582.88209169998</v>
      </c>
      <c r="O282" s="20" t="s">
        <v>2564</v>
      </c>
    </row>
    <row r="283" spans="1:15" ht="24" customHeight="1" x14ac:dyDescent="0.2">
      <c r="A283" s="20" t="s">
        <v>1088</v>
      </c>
      <c r="B283" s="19" t="s">
        <v>15</v>
      </c>
      <c r="C283" s="19" t="s">
        <v>1089</v>
      </c>
      <c r="D283" s="19" t="s">
        <v>794</v>
      </c>
      <c r="E283" s="21" t="s">
        <v>134</v>
      </c>
      <c r="F283" s="20" t="s">
        <v>2580</v>
      </c>
      <c r="G283" s="20" t="s">
        <v>760</v>
      </c>
      <c r="H283" s="20" t="s">
        <v>2581</v>
      </c>
      <c r="I283" s="20" t="s">
        <v>760</v>
      </c>
      <c r="J283" s="20" t="s">
        <v>2582</v>
      </c>
      <c r="K283" s="20" t="s">
        <v>760</v>
      </c>
      <c r="L283" s="82">
        <v>2.1349999999999998</v>
      </c>
      <c r="M283" s="20" t="s">
        <v>2423</v>
      </c>
      <c r="N283" s="82">
        <v>896585.01709169999</v>
      </c>
      <c r="O283" s="20" t="s">
        <v>2564</v>
      </c>
    </row>
    <row r="284" spans="1:15" ht="24" customHeight="1" x14ac:dyDescent="0.2">
      <c r="A284" s="20" t="s">
        <v>1011</v>
      </c>
      <c r="B284" s="19" t="s">
        <v>15</v>
      </c>
      <c r="C284" s="19" t="s">
        <v>1012</v>
      </c>
      <c r="D284" s="19" t="s">
        <v>794</v>
      </c>
      <c r="E284" s="21" t="s">
        <v>78</v>
      </c>
      <c r="F284" s="20" t="s">
        <v>2583</v>
      </c>
      <c r="G284" s="20" t="s">
        <v>760</v>
      </c>
      <c r="H284" s="20" t="s">
        <v>2584</v>
      </c>
      <c r="I284" s="20" t="s">
        <v>760</v>
      </c>
      <c r="J284" s="20" t="s">
        <v>2585</v>
      </c>
      <c r="K284" s="20" t="s">
        <v>760</v>
      </c>
      <c r="L284" s="82">
        <v>1.9343999999999999</v>
      </c>
      <c r="M284" s="20" t="s">
        <v>2423</v>
      </c>
      <c r="N284" s="82">
        <v>896586.95149170002</v>
      </c>
      <c r="O284" s="20" t="s">
        <v>2564</v>
      </c>
    </row>
    <row r="285" spans="1:15" ht="24" customHeight="1" x14ac:dyDescent="0.2">
      <c r="A285" s="20" t="s">
        <v>1434</v>
      </c>
      <c r="B285" s="19" t="s">
        <v>15</v>
      </c>
      <c r="C285" s="19" t="s">
        <v>1435</v>
      </c>
      <c r="D285" s="19" t="s">
        <v>794</v>
      </c>
      <c r="E285" s="21" t="s">
        <v>32</v>
      </c>
      <c r="F285" s="20" t="s">
        <v>2586</v>
      </c>
      <c r="G285" s="20" t="s">
        <v>760</v>
      </c>
      <c r="H285" s="20" t="s">
        <v>2587</v>
      </c>
      <c r="I285" s="20" t="s">
        <v>760</v>
      </c>
      <c r="J285" s="20" t="s">
        <v>2588</v>
      </c>
      <c r="K285" s="20" t="s">
        <v>760</v>
      </c>
      <c r="L285" s="82">
        <v>1.8908427999999999</v>
      </c>
      <c r="M285" s="20" t="s">
        <v>2423</v>
      </c>
      <c r="N285" s="82">
        <v>896588.84233450005</v>
      </c>
      <c r="O285" s="20" t="s">
        <v>2564</v>
      </c>
    </row>
    <row r="286" spans="1:15" ht="39" customHeight="1" x14ac:dyDescent="0.2">
      <c r="A286" s="20" t="s">
        <v>2589</v>
      </c>
      <c r="B286" s="19" t="s">
        <v>31</v>
      </c>
      <c r="C286" s="19" t="s">
        <v>2590</v>
      </c>
      <c r="D286" s="19" t="s">
        <v>1317</v>
      </c>
      <c r="E286" s="21" t="s">
        <v>32</v>
      </c>
      <c r="F286" s="20" t="s">
        <v>2591</v>
      </c>
      <c r="G286" s="20" t="s">
        <v>760</v>
      </c>
      <c r="H286" s="20" t="s">
        <v>2592</v>
      </c>
      <c r="I286" s="20" t="s">
        <v>760</v>
      </c>
      <c r="J286" s="20" t="s">
        <v>2206</v>
      </c>
      <c r="K286" s="20" t="s">
        <v>760</v>
      </c>
      <c r="L286" s="82">
        <v>1.6784086620000001</v>
      </c>
      <c r="M286" s="20" t="s">
        <v>2423</v>
      </c>
      <c r="N286" s="82">
        <v>896590.52074319997</v>
      </c>
      <c r="O286" s="20" t="s">
        <v>2564</v>
      </c>
    </row>
    <row r="287" spans="1:15" ht="26.1" customHeight="1" x14ac:dyDescent="0.2">
      <c r="A287" s="20" t="s">
        <v>2593</v>
      </c>
      <c r="B287" s="19" t="s">
        <v>31</v>
      </c>
      <c r="C287" s="19" t="s">
        <v>2594</v>
      </c>
      <c r="D287" s="19" t="s">
        <v>1317</v>
      </c>
      <c r="E287" s="21" t="s">
        <v>785</v>
      </c>
      <c r="F287" s="20" t="s">
        <v>2559</v>
      </c>
      <c r="G287" s="20" t="s">
        <v>760</v>
      </c>
      <c r="H287" s="20" t="s">
        <v>2595</v>
      </c>
      <c r="I287" s="20" t="s">
        <v>760</v>
      </c>
      <c r="J287" s="20" t="s">
        <v>2596</v>
      </c>
      <c r="K287" s="20" t="s">
        <v>760</v>
      </c>
      <c r="L287" s="82">
        <v>1.3407519999999999</v>
      </c>
      <c r="M287" s="20" t="s">
        <v>2423</v>
      </c>
      <c r="N287" s="82">
        <v>896591.86149519996</v>
      </c>
      <c r="O287" s="20" t="s">
        <v>2564</v>
      </c>
    </row>
    <row r="288" spans="1:15" ht="24" customHeight="1" x14ac:dyDescent="0.2">
      <c r="A288" s="20" t="s">
        <v>2597</v>
      </c>
      <c r="B288" s="19" t="s">
        <v>31</v>
      </c>
      <c r="C288" s="19" t="s">
        <v>2598</v>
      </c>
      <c r="D288" s="19" t="s">
        <v>794</v>
      </c>
      <c r="E288" s="21" t="s">
        <v>720</v>
      </c>
      <c r="F288" s="20" t="s">
        <v>2599</v>
      </c>
      <c r="G288" s="20" t="s">
        <v>760</v>
      </c>
      <c r="H288" s="20" t="s">
        <v>2600</v>
      </c>
      <c r="I288" s="20" t="s">
        <v>760</v>
      </c>
      <c r="J288" s="20" t="s">
        <v>2601</v>
      </c>
      <c r="K288" s="20" t="s">
        <v>760</v>
      </c>
      <c r="L288" s="82">
        <v>1.2826288370000001</v>
      </c>
      <c r="M288" s="20" t="s">
        <v>2423</v>
      </c>
      <c r="N288" s="82">
        <v>896593.14412399998</v>
      </c>
      <c r="O288" s="20" t="s">
        <v>2564</v>
      </c>
    </row>
    <row r="289" spans="1:15" ht="26.1" customHeight="1" x14ac:dyDescent="0.2">
      <c r="A289" s="20" t="s">
        <v>1076</v>
      </c>
      <c r="B289" s="19" t="s">
        <v>31</v>
      </c>
      <c r="C289" s="19" t="s">
        <v>1077</v>
      </c>
      <c r="D289" s="19" t="s">
        <v>794</v>
      </c>
      <c r="E289" s="21" t="s">
        <v>134</v>
      </c>
      <c r="F289" s="20" t="s">
        <v>2602</v>
      </c>
      <c r="G289" s="20" t="s">
        <v>760</v>
      </c>
      <c r="H289" s="20" t="s">
        <v>2603</v>
      </c>
      <c r="I289" s="20" t="s">
        <v>760</v>
      </c>
      <c r="J289" s="20" t="s">
        <v>1866</v>
      </c>
      <c r="K289" s="20" t="s">
        <v>760</v>
      </c>
      <c r="L289" s="82">
        <v>1.1310199999999999</v>
      </c>
      <c r="M289" s="20" t="s">
        <v>2423</v>
      </c>
      <c r="N289" s="82">
        <v>896594.27514399996</v>
      </c>
      <c r="O289" s="20" t="s">
        <v>2564</v>
      </c>
    </row>
    <row r="290" spans="1:15" ht="24" customHeight="1" x14ac:dyDescent="0.2">
      <c r="A290" s="20" t="s">
        <v>1183</v>
      </c>
      <c r="B290" s="19" t="s">
        <v>327</v>
      </c>
      <c r="C290" s="19" t="s">
        <v>1184</v>
      </c>
      <c r="D290" s="19" t="s">
        <v>794</v>
      </c>
      <c r="E290" s="21" t="s">
        <v>32</v>
      </c>
      <c r="F290" s="20" t="s">
        <v>2604</v>
      </c>
      <c r="G290" s="20" t="s">
        <v>760</v>
      </c>
      <c r="H290" s="20" t="s">
        <v>2605</v>
      </c>
      <c r="I290" s="20" t="s">
        <v>760</v>
      </c>
      <c r="J290" s="20" t="s">
        <v>2606</v>
      </c>
      <c r="K290" s="20" t="s">
        <v>760</v>
      </c>
      <c r="L290" s="82">
        <v>1.008686</v>
      </c>
      <c r="M290" s="20" t="s">
        <v>2423</v>
      </c>
      <c r="N290" s="82">
        <v>896595.28382999997</v>
      </c>
      <c r="O290" s="20" t="s">
        <v>2564</v>
      </c>
    </row>
    <row r="291" spans="1:15" ht="26.1" customHeight="1" x14ac:dyDescent="0.2">
      <c r="A291" s="20" t="s">
        <v>2607</v>
      </c>
      <c r="B291" s="19" t="s">
        <v>31</v>
      </c>
      <c r="C291" s="19" t="s">
        <v>2608</v>
      </c>
      <c r="D291" s="19" t="s">
        <v>794</v>
      </c>
      <c r="E291" s="21" t="s">
        <v>2609</v>
      </c>
      <c r="F291" s="20" t="s">
        <v>2610</v>
      </c>
      <c r="G291" s="20" t="s">
        <v>760</v>
      </c>
      <c r="H291" s="20" t="s">
        <v>2272</v>
      </c>
      <c r="I291" s="20" t="s">
        <v>760</v>
      </c>
      <c r="J291" s="20" t="s">
        <v>2611</v>
      </c>
      <c r="K291" s="20" t="s">
        <v>760</v>
      </c>
      <c r="L291" s="82">
        <v>0.89163409999999999</v>
      </c>
      <c r="M291" s="20" t="s">
        <v>2423</v>
      </c>
      <c r="N291" s="82">
        <v>896596.17546409997</v>
      </c>
      <c r="O291" s="20" t="s">
        <v>2564</v>
      </c>
    </row>
    <row r="292" spans="1:15" ht="26.1" customHeight="1" x14ac:dyDescent="0.2">
      <c r="A292" s="20" t="s">
        <v>1072</v>
      </c>
      <c r="B292" s="19" t="s">
        <v>31</v>
      </c>
      <c r="C292" s="19" t="s">
        <v>1073</v>
      </c>
      <c r="D292" s="19" t="s">
        <v>794</v>
      </c>
      <c r="E292" s="21" t="s">
        <v>134</v>
      </c>
      <c r="F292" s="20" t="s">
        <v>2612</v>
      </c>
      <c r="G292" s="20" t="s">
        <v>760</v>
      </c>
      <c r="H292" s="20" t="s">
        <v>2613</v>
      </c>
      <c r="I292" s="20" t="s">
        <v>760</v>
      </c>
      <c r="J292" s="20" t="s">
        <v>2614</v>
      </c>
      <c r="K292" s="20" t="s">
        <v>760</v>
      </c>
      <c r="L292" s="82">
        <v>0.86347799999999997</v>
      </c>
      <c r="M292" s="20" t="s">
        <v>2423</v>
      </c>
      <c r="N292" s="82">
        <v>896597.03894210001</v>
      </c>
      <c r="O292" s="20" t="s">
        <v>2564</v>
      </c>
    </row>
    <row r="293" spans="1:15" ht="26.1" customHeight="1" x14ac:dyDescent="0.2">
      <c r="A293" s="20" t="s">
        <v>1110</v>
      </c>
      <c r="B293" s="19" t="s">
        <v>31</v>
      </c>
      <c r="C293" s="19" t="s">
        <v>1111</v>
      </c>
      <c r="D293" s="19" t="s">
        <v>794</v>
      </c>
      <c r="E293" s="21" t="s">
        <v>720</v>
      </c>
      <c r="F293" s="20" t="s">
        <v>2615</v>
      </c>
      <c r="G293" s="20" t="s">
        <v>760</v>
      </c>
      <c r="H293" s="20" t="s">
        <v>2616</v>
      </c>
      <c r="I293" s="20" t="s">
        <v>760</v>
      </c>
      <c r="J293" s="20" t="s">
        <v>2617</v>
      </c>
      <c r="K293" s="20" t="s">
        <v>760</v>
      </c>
      <c r="L293" s="82">
        <v>0.80049599999999999</v>
      </c>
      <c r="M293" s="20" t="s">
        <v>2423</v>
      </c>
      <c r="N293" s="82">
        <v>896597.8394381</v>
      </c>
      <c r="O293" s="20" t="s">
        <v>2564</v>
      </c>
    </row>
    <row r="294" spans="1:15" ht="24" customHeight="1" x14ac:dyDescent="0.2">
      <c r="A294" s="20" t="s">
        <v>1150</v>
      </c>
      <c r="B294" s="19" t="s">
        <v>31</v>
      </c>
      <c r="C294" s="19" t="s">
        <v>1151</v>
      </c>
      <c r="D294" s="19" t="s">
        <v>794</v>
      </c>
      <c r="E294" s="21" t="s">
        <v>32</v>
      </c>
      <c r="F294" s="20" t="s">
        <v>2618</v>
      </c>
      <c r="G294" s="20" t="s">
        <v>760</v>
      </c>
      <c r="H294" s="20" t="s">
        <v>2619</v>
      </c>
      <c r="I294" s="20" t="s">
        <v>760</v>
      </c>
      <c r="J294" s="20" t="s">
        <v>1547</v>
      </c>
      <c r="K294" s="20" t="s">
        <v>760</v>
      </c>
      <c r="L294" s="82">
        <v>0.76566400000000001</v>
      </c>
      <c r="M294" s="20" t="s">
        <v>2423</v>
      </c>
      <c r="N294" s="82">
        <v>896598.60510209994</v>
      </c>
      <c r="O294" s="20" t="s">
        <v>2564</v>
      </c>
    </row>
    <row r="295" spans="1:15" ht="26.1" customHeight="1" x14ac:dyDescent="0.2">
      <c r="A295" s="20" t="s">
        <v>2620</v>
      </c>
      <c r="B295" s="19" t="s">
        <v>31</v>
      </c>
      <c r="C295" s="19" t="s">
        <v>2621</v>
      </c>
      <c r="D295" s="19" t="s">
        <v>1317</v>
      </c>
      <c r="E295" s="21" t="s">
        <v>32</v>
      </c>
      <c r="F295" s="20" t="s">
        <v>2622</v>
      </c>
      <c r="G295" s="20" t="s">
        <v>760</v>
      </c>
      <c r="H295" s="20" t="s">
        <v>2623</v>
      </c>
      <c r="I295" s="20" t="s">
        <v>760</v>
      </c>
      <c r="J295" s="20" t="s">
        <v>2624</v>
      </c>
      <c r="K295" s="20" t="s">
        <v>760</v>
      </c>
      <c r="L295" s="82">
        <v>0.63254725000000001</v>
      </c>
      <c r="M295" s="20" t="s">
        <v>2423</v>
      </c>
      <c r="N295" s="82">
        <v>896599.23764940002</v>
      </c>
      <c r="O295" s="20" t="s">
        <v>2564</v>
      </c>
    </row>
    <row r="296" spans="1:15" ht="24" customHeight="1" x14ac:dyDescent="0.2">
      <c r="A296" s="20" t="s">
        <v>1177</v>
      </c>
      <c r="B296" s="19" t="s">
        <v>327</v>
      </c>
      <c r="C296" s="19" t="s">
        <v>1178</v>
      </c>
      <c r="D296" s="19" t="s">
        <v>794</v>
      </c>
      <c r="E296" s="21" t="s">
        <v>134</v>
      </c>
      <c r="F296" s="20" t="s">
        <v>2625</v>
      </c>
      <c r="G296" s="20" t="s">
        <v>760</v>
      </c>
      <c r="H296" s="20" t="s">
        <v>2626</v>
      </c>
      <c r="I296" s="20" t="s">
        <v>760</v>
      </c>
      <c r="J296" s="20" t="s">
        <v>2627</v>
      </c>
      <c r="K296" s="20" t="s">
        <v>760</v>
      </c>
      <c r="L296" s="82">
        <v>0.21456</v>
      </c>
      <c r="M296" s="20" t="s">
        <v>2423</v>
      </c>
      <c r="N296" s="82">
        <v>896599.45220940001</v>
      </c>
      <c r="O296" s="20" t="s">
        <v>2564</v>
      </c>
    </row>
    <row r="297" spans="1:15" ht="24" customHeight="1" x14ac:dyDescent="0.2">
      <c r="A297" s="20" t="s">
        <v>1436</v>
      </c>
      <c r="B297" s="19" t="s">
        <v>15</v>
      </c>
      <c r="C297" s="19" t="s">
        <v>1437</v>
      </c>
      <c r="D297" s="19" t="s">
        <v>794</v>
      </c>
      <c r="E297" s="21" t="s">
        <v>785</v>
      </c>
      <c r="F297" s="20" t="s">
        <v>2628</v>
      </c>
      <c r="G297" s="20" t="s">
        <v>760</v>
      </c>
      <c r="H297" s="20" t="s">
        <v>2524</v>
      </c>
      <c r="I297" s="20" t="s">
        <v>760</v>
      </c>
      <c r="J297" s="20" t="s">
        <v>2629</v>
      </c>
      <c r="K297" s="20" t="s">
        <v>760</v>
      </c>
      <c r="L297" s="82">
        <v>0.20327999999999999</v>
      </c>
      <c r="M297" s="20" t="s">
        <v>2423</v>
      </c>
      <c r="N297" s="82">
        <v>896599.65548940003</v>
      </c>
      <c r="O297" s="20" t="s">
        <v>2564</v>
      </c>
    </row>
    <row r="298" spans="1:15" ht="26.1" customHeight="1" x14ac:dyDescent="0.2">
      <c r="A298" s="20" t="s">
        <v>1066</v>
      </c>
      <c r="B298" s="19" t="s">
        <v>31</v>
      </c>
      <c r="C298" s="19" t="s">
        <v>1067</v>
      </c>
      <c r="D298" s="19" t="s">
        <v>794</v>
      </c>
      <c r="E298" s="21" t="s">
        <v>720</v>
      </c>
      <c r="F298" s="20" t="s">
        <v>2630</v>
      </c>
      <c r="G298" s="20" t="s">
        <v>760</v>
      </c>
      <c r="H298" s="20" t="s">
        <v>2631</v>
      </c>
      <c r="I298" s="20" t="s">
        <v>760</v>
      </c>
      <c r="J298" s="20" t="s">
        <v>2632</v>
      </c>
      <c r="K298" s="20" t="s">
        <v>760</v>
      </c>
      <c r="L298" s="82">
        <v>0.15706349999999999</v>
      </c>
      <c r="M298" s="20" t="s">
        <v>2423</v>
      </c>
      <c r="N298" s="82">
        <v>896599.81255290005</v>
      </c>
      <c r="O298" s="20" t="s">
        <v>2564</v>
      </c>
    </row>
    <row r="299" spans="1:15" ht="26.1" customHeight="1" x14ac:dyDescent="0.2">
      <c r="A299" s="20" t="s">
        <v>2633</v>
      </c>
      <c r="B299" s="19" t="s">
        <v>31</v>
      </c>
      <c r="C299" s="19" t="s">
        <v>2634</v>
      </c>
      <c r="D299" s="19" t="s">
        <v>2635</v>
      </c>
      <c r="E299" s="21" t="s">
        <v>32</v>
      </c>
      <c r="F299" s="20" t="s">
        <v>2636</v>
      </c>
      <c r="G299" s="20" t="s">
        <v>760</v>
      </c>
      <c r="H299" s="20" t="s">
        <v>2637</v>
      </c>
      <c r="I299" s="20" t="s">
        <v>760</v>
      </c>
      <c r="J299" s="20" t="s">
        <v>2638</v>
      </c>
      <c r="K299" s="20" t="s">
        <v>760</v>
      </c>
      <c r="L299" s="82">
        <v>0.14415291</v>
      </c>
      <c r="M299" s="20" t="s">
        <v>2423</v>
      </c>
      <c r="N299" s="82">
        <v>896599.95670580002</v>
      </c>
      <c r="O299" s="20" t="s">
        <v>2564</v>
      </c>
    </row>
    <row r="300" spans="1:15" ht="26.1" customHeight="1" x14ac:dyDescent="0.2">
      <c r="A300" s="20" t="s">
        <v>2639</v>
      </c>
      <c r="B300" s="19" t="s">
        <v>31</v>
      </c>
      <c r="C300" s="19" t="s">
        <v>2640</v>
      </c>
      <c r="D300" s="19" t="s">
        <v>1317</v>
      </c>
      <c r="E300" s="21" t="s">
        <v>785</v>
      </c>
      <c r="F300" s="20" t="s">
        <v>2570</v>
      </c>
      <c r="G300" s="20" t="s">
        <v>760</v>
      </c>
      <c r="H300" s="20" t="s">
        <v>2641</v>
      </c>
      <c r="I300" s="20" t="s">
        <v>760</v>
      </c>
      <c r="J300" s="20" t="s">
        <v>2642</v>
      </c>
      <c r="K300" s="20" t="s">
        <v>760</v>
      </c>
      <c r="L300" s="82">
        <v>3.2509548999999999E-2</v>
      </c>
      <c r="M300" s="20" t="s">
        <v>2423</v>
      </c>
      <c r="N300" s="82">
        <v>896599.98921529995</v>
      </c>
      <c r="O300" s="20" t="s">
        <v>2564</v>
      </c>
    </row>
    <row r="301" spans="1:15" ht="39" customHeight="1" x14ac:dyDescent="0.2">
      <c r="A301" s="20" t="s">
        <v>2643</v>
      </c>
      <c r="B301" s="19" t="s">
        <v>31</v>
      </c>
      <c r="C301" s="19" t="s">
        <v>2644</v>
      </c>
      <c r="D301" s="19" t="s">
        <v>2635</v>
      </c>
      <c r="E301" s="21" t="s">
        <v>32</v>
      </c>
      <c r="F301" s="20" t="s">
        <v>2645</v>
      </c>
      <c r="G301" s="20" t="s">
        <v>760</v>
      </c>
      <c r="H301" s="20" t="s">
        <v>2646</v>
      </c>
      <c r="I301" s="20" t="s">
        <v>760</v>
      </c>
      <c r="J301" s="20" t="s">
        <v>2647</v>
      </c>
      <c r="K301" s="20" t="s">
        <v>760</v>
      </c>
      <c r="L301" s="82">
        <v>2.30046E-2</v>
      </c>
      <c r="M301" s="20" t="s">
        <v>2423</v>
      </c>
      <c r="N301" s="82">
        <v>896600.01221990003</v>
      </c>
      <c r="O301" s="20" t="s">
        <v>2564</v>
      </c>
    </row>
    <row r="302" spans="1:15" x14ac:dyDescent="0.2">
      <c r="A302" s="79"/>
      <c r="B302" s="79"/>
      <c r="C302" s="79"/>
      <c r="D302" s="79"/>
      <c r="E302" s="79"/>
      <c r="F302" s="79"/>
      <c r="G302" s="79"/>
      <c r="H302" s="79"/>
      <c r="I302" s="79"/>
      <c r="J302" s="79"/>
      <c r="K302" s="79"/>
      <c r="L302" s="79"/>
      <c r="M302" s="79"/>
      <c r="N302" s="79"/>
      <c r="O302" s="79"/>
    </row>
    <row r="303" spans="1:15" x14ac:dyDescent="0.2">
      <c r="A303" s="92"/>
      <c r="B303" s="92"/>
      <c r="C303" s="92"/>
      <c r="D303" s="92"/>
      <c r="E303" s="92"/>
      <c r="F303" s="92"/>
      <c r="G303" s="92"/>
      <c r="H303" s="92"/>
      <c r="I303" s="92"/>
      <c r="J303" s="92"/>
      <c r="K303" s="92"/>
      <c r="L303" s="127" t="s">
        <v>2648</v>
      </c>
      <c r="M303" s="127"/>
      <c r="N303" s="127"/>
      <c r="O303" s="118"/>
    </row>
    <row r="304" spans="1:15" x14ac:dyDescent="0.2">
      <c r="A304" s="92"/>
      <c r="B304" s="92"/>
      <c r="C304" s="92"/>
      <c r="D304" s="92"/>
      <c r="E304" s="92"/>
      <c r="F304" s="92"/>
      <c r="G304" s="92"/>
      <c r="H304" s="92"/>
      <c r="I304" s="92"/>
      <c r="J304" s="92"/>
      <c r="K304" s="92"/>
      <c r="L304" s="127" t="s">
        <v>1317</v>
      </c>
      <c r="M304" s="127"/>
      <c r="N304" s="127"/>
      <c r="O304" s="92" t="s">
        <v>2649</v>
      </c>
    </row>
    <row r="305" spans="1:15" x14ac:dyDescent="0.2">
      <c r="A305" s="92"/>
      <c r="B305" s="92"/>
      <c r="C305" s="92"/>
      <c r="D305" s="92"/>
      <c r="E305" s="92"/>
      <c r="F305" s="92"/>
      <c r="G305" s="92"/>
      <c r="H305" s="92"/>
      <c r="I305" s="92"/>
      <c r="J305" s="92"/>
      <c r="K305" s="92"/>
      <c r="L305" s="127" t="s">
        <v>2635</v>
      </c>
      <c r="M305" s="127"/>
      <c r="N305" s="127"/>
      <c r="O305" s="92" t="s">
        <v>2650</v>
      </c>
    </row>
    <row r="306" spans="1:15" x14ac:dyDescent="0.2">
      <c r="A306" s="92"/>
      <c r="B306" s="92"/>
      <c r="C306" s="92"/>
      <c r="D306" s="92"/>
      <c r="E306" s="92"/>
      <c r="F306" s="92"/>
      <c r="G306" s="92"/>
      <c r="H306" s="92"/>
      <c r="I306" s="92"/>
      <c r="J306" s="92"/>
      <c r="K306" s="92"/>
      <c r="L306" s="127" t="s">
        <v>784</v>
      </c>
      <c r="M306" s="127"/>
      <c r="N306" s="127"/>
      <c r="O306" s="92" t="s">
        <v>2651</v>
      </c>
    </row>
    <row r="307" spans="1:15" x14ac:dyDescent="0.2">
      <c r="A307" s="92"/>
      <c r="B307" s="92"/>
      <c r="C307" s="92"/>
      <c r="D307" s="92"/>
      <c r="E307" s="92"/>
      <c r="F307" s="92"/>
      <c r="G307" s="92"/>
      <c r="H307" s="92"/>
      <c r="I307" s="92"/>
      <c r="J307" s="92"/>
      <c r="K307" s="92"/>
      <c r="L307" s="127" t="s">
        <v>794</v>
      </c>
      <c r="M307" s="127"/>
      <c r="N307" s="127"/>
      <c r="O307" s="92" t="s">
        <v>2652</v>
      </c>
    </row>
    <row r="308" spans="1:15" x14ac:dyDescent="0.2">
      <c r="A308" s="92"/>
      <c r="B308" s="92"/>
      <c r="C308" s="92"/>
      <c r="D308" s="92"/>
      <c r="E308" s="92"/>
      <c r="F308" s="92"/>
      <c r="G308" s="92"/>
      <c r="H308" s="92"/>
      <c r="I308" s="92"/>
      <c r="J308" s="92"/>
      <c r="K308" s="92"/>
      <c r="L308" s="127" t="s">
        <v>2157</v>
      </c>
      <c r="M308" s="127"/>
      <c r="N308" s="127"/>
      <c r="O308" s="92" t="s">
        <v>2653</v>
      </c>
    </row>
    <row r="309" spans="1:15" x14ac:dyDescent="0.2">
      <c r="A309" s="92"/>
      <c r="B309" s="92"/>
      <c r="C309" s="92"/>
      <c r="D309" s="92"/>
      <c r="E309" s="92"/>
      <c r="F309" s="92"/>
      <c r="G309" s="92"/>
      <c r="H309" s="92"/>
      <c r="I309" s="92"/>
      <c r="J309" s="92"/>
      <c r="K309" s="92"/>
      <c r="L309" s="127" t="s">
        <v>2459</v>
      </c>
      <c r="M309" s="127"/>
      <c r="N309" s="127"/>
      <c r="O309" s="92" t="s">
        <v>2654</v>
      </c>
    </row>
    <row r="310" spans="1:15" x14ac:dyDescent="0.2">
      <c r="A310" s="92"/>
      <c r="B310" s="92"/>
      <c r="C310" s="92"/>
      <c r="D310" s="92"/>
      <c r="E310" s="92"/>
      <c r="F310" s="92"/>
      <c r="G310" s="92"/>
      <c r="H310" s="92"/>
      <c r="I310" s="92"/>
      <c r="J310" s="92"/>
      <c r="K310" s="92"/>
      <c r="L310" s="127" t="s">
        <v>2655</v>
      </c>
      <c r="M310" s="127"/>
      <c r="N310" s="127"/>
      <c r="O310" s="92" t="s">
        <v>2656</v>
      </c>
    </row>
    <row r="311" spans="1:15" x14ac:dyDescent="0.2">
      <c r="A311" s="92"/>
      <c r="B311" s="92"/>
      <c r="C311" s="92"/>
      <c r="D311" s="92"/>
      <c r="E311" s="92"/>
      <c r="F311" s="92"/>
      <c r="G311" s="92"/>
      <c r="H311" s="92"/>
      <c r="I311" s="92"/>
      <c r="J311" s="92"/>
      <c r="K311" s="92"/>
      <c r="L311" s="127" t="s">
        <v>2657</v>
      </c>
      <c r="M311" s="127"/>
      <c r="N311" s="127"/>
      <c r="O311" s="92" t="s">
        <v>2656</v>
      </c>
    </row>
    <row r="312" spans="1:15" x14ac:dyDescent="0.2">
      <c r="A312" s="92"/>
      <c r="B312" s="92"/>
      <c r="C312" s="92"/>
      <c r="D312" s="92"/>
      <c r="E312" s="92"/>
      <c r="F312" s="92"/>
      <c r="G312" s="92"/>
      <c r="H312" s="92"/>
      <c r="I312" s="92"/>
      <c r="J312" s="92"/>
      <c r="K312" s="92"/>
      <c r="L312" s="127" t="s">
        <v>2658</v>
      </c>
      <c r="M312" s="127"/>
      <c r="N312" s="127"/>
      <c r="O312" s="92" t="s">
        <v>2656</v>
      </c>
    </row>
    <row r="313" spans="1:15" x14ac:dyDescent="0.2">
      <c r="A313" s="92"/>
      <c r="B313" s="92"/>
      <c r="C313" s="92"/>
      <c r="D313" s="92"/>
      <c r="E313" s="92"/>
      <c r="F313" s="92"/>
      <c r="G313" s="92"/>
      <c r="H313" s="92"/>
      <c r="I313" s="92"/>
      <c r="J313" s="92"/>
      <c r="K313" s="92"/>
      <c r="L313" s="127" t="s">
        <v>2659</v>
      </c>
      <c r="M313" s="127"/>
      <c r="N313" s="127"/>
      <c r="O313" s="92" t="s">
        <v>2656</v>
      </c>
    </row>
    <row r="314" spans="1:15" x14ac:dyDescent="0.2">
      <c r="A314" s="92"/>
      <c r="B314" s="92"/>
      <c r="C314" s="92"/>
      <c r="D314" s="92"/>
      <c r="E314" s="92"/>
      <c r="F314" s="92"/>
      <c r="G314" s="92"/>
      <c r="H314" s="92"/>
      <c r="I314" s="92"/>
      <c r="J314" s="92"/>
      <c r="K314" s="92"/>
      <c r="L314" s="127" t="s">
        <v>2660</v>
      </c>
      <c r="M314" s="127"/>
      <c r="N314" s="127"/>
      <c r="O314" s="92" t="s">
        <v>2656</v>
      </c>
    </row>
    <row r="315" spans="1:15" x14ac:dyDescent="0.2">
      <c r="A315" s="92"/>
      <c r="B315" s="92"/>
      <c r="C315" s="92"/>
      <c r="D315" s="92"/>
      <c r="E315" s="92"/>
      <c r="F315" s="92"/>
      <c r="G315" s="92"/>
      <c r="H315" s="92"/>
      <c r="I315" s="92"/>
      <c r="J315" s="92"/>
      <c r="K315" s="92"/>
      <c r="L315" s="127" t="s">
        <v>1881</v>
      </c>
      <c r="M315" s="127"/>
      <c r="N315" s="127"/>
      <c r="O315" s="92" t="s">
        <v>2661</v>
      </c>
    </row>
    <row r="316" spans="1:15" x14ac:dyDescent="0.2">
      <c r="A316" s="79"/>
      <c r="B316" s="79"/>
      <c r="C316" s="79"/>
      <c r="D316" s="79"/>
      <c r="E316" s="79"/>
      <c r="F316" s="79"/>
      <c r="G316" s="79"/>
      <c r="H316" s="79"/>
      <c r="I316" s="79"/>
      <c r="J316" s="79"/>
      <c r="K316" s="79"/>
      <c r="L316" s="79"/>
      <c r="M316" s="79"/>
      <c r="N316" s="79"/>
      <c r="O316" s="79"/>
    </row>
    <row r="317" spans="1:15" x14ac:dyDescent="0.2">
      <c r="A317" s="111"/>
      <c r="B317" s="111"/>
      <c r="C317" s="111"/>
      <c r="D317" s="85"/>
      <c r="E317" s="77"/>
      <c r="F317" s="77"/>
      <c r="G317" s="77"/>
      <c r="H317" s="77"/>
      <c r="I317" s="77"/>
      <c r="J317" s="77"/>
      <c r="K317" s="112" t="s">
        <v>19</v>
      </c>
      <c r="L317" s="111"/>
      <c r="M317" s="113">
        <v>696027.38</v>
      </c>
      <c r="N317" s="111"/>
      <c r="O317" s="111"/>
    </row>
    <row r="318" spans="1:15" x14ac:dyDescent="0.2">
      <c r="A318" s="111"/>
      <c r="B318" s="111"/>
      <c r="C318" s="111"/>
      <c r="D318" s="85"/>
      <c r="E318" s="77"/>
      <c r="F318" s="77"/>
      <c r="G318" s="77"/>
      <c r="H318" s="77"/>
      <c r="I318" s="77"/>
      <c r="J318" s="77"/>
      <c r="K318" s="112" t="s">
        <v>20</v>
      </c>
      <c r="L318" s="111"/>
      <c r="M318" s="113">
        <v>200491.08</v>
      </c>
      <c r="N318" s="111"/>
      <c r="O318" s="111"/>
    </row>
    <row r="319" spans="1:15" x14ac:dyDescent="0.2">
      <c r="A319" s="111"/>
      <c r="B319" s="111"/>
      <c r="C319" s="111"/>
      <c r="D319" s="85"/>
      <c r="E319" s="77"/>
      <c r="F319" s="77"/>
      <c r="G319" s="77"/>
      <c r="H319" s="77"/>
      <c r="I319" s="77"/>
      <c r="J319" s="77"/>
      <c r="K319" s="112" t="s">
        <v>21</v>
      </c>
      <c r="L319" s="111"/>
      <c r="M319" s="113">
        <v>896518.46</v>
      </c>
      <c r="N319" s="111"/>
      <c r="O319" s="111"/>
    </row>
    <row r="320" spans="1:15" ht="69.95" customHeight="1" x14ac:dyDescent="0.2">
      <c r="A320" s="41"/>
      <c r="B320" s="41"/>
      <c r="C320" s="41"/>
      <c r="D320" s="41"/>
      <c r="E320" s="41"/>
      <c r="F320" s="41"/>
      <c r="G320" s="41"/>
      <c r="H320" s="41"/>
      <c r="I320" s="41"/>
      <c r="J320" s="41"/>
      <c r="K320" s="41"/>
      <c r="L320" s="41"/>
      <c r="M320" s="41"/>
      <c r="N320" s="41"/>
      <c r="O320" s="41"/>
    </row>
    <row r="321" spans="1:15" x14ac:dyDescent="0.2">
      <c r="A321" s="129" t="s">
        <v>708</v>
      </c>
      <c r="B321" s="118"/>
      <c r="C321" s="118"/>
      <c r="D321" s="118"/>
      <c r="E321" s="118"/>
      <c r="F321" s="118"/>
      <c r="G321" s="118"/>
      <c r="H321" s="118"/>
      <c r="I321" s="118"/>
      <c r="J321" s="118"/>
      <c r="K321" s="118"/>
      <c r="L321" s="118"/>
      <c r="M321" s="118"/>
      <c r="N321" s="118"/>
      <c r="O321" s="118"/>
    </row>
  </sheetData>
  <mergeCells count="38">
    <mergeCell ref="A318:C318"/>
    <mergeCell ref="K318:L318"/>
    <mergeCell ref="M318:O318"/>
    <mergeCell ref="A319:C319"/>
    <mergeCell ref="K319:L319"/>
    <mergeCell ref="M319:O319"/>
    <mergeCell ref="L313:N313"/>
    <mergeCell ref="L314:N314"/>
    <mergeCell ref="L315:N315"/>
    <mergeCell ref="A317:C317"/>
    <mergeCell ref="K317:L317"/>
    <mergeCell ref="M317:O317"/>
    <mergeCell ref="L308:N308"/>
    <mergeCell ref="L309:N309"/>
    <mergeCell ref="L310:N310"/>
    <mergeCell ref="L311:N311"/>
    <mergeCell ref="L312:N312"/>
    <mergeCell ref="L303:O303"/>
    <mergeCell ref="L304:N304"/>
    <mergeCell ref="L305:N305"/>
    <mergeCell ref="L306:N306"/>
    <mergeCell ref="L307:N307"/>
    <mergeCell ref="A321:O321"/>
    <mergeCell ref="E1:G1"/>
    <mergeCell ref="H1:O1"/>
    <mergeCell ref="E2:G2"/>
    <mergeCell ref="H2:O2"/>
    <mergeCell ref="A3:Q3"/>
    <mergeCell ref="A4:A5"/>
    <mergeCell ref="B4:B5"/>
    <mergeCell ref="C4:C5"/>
    <mergeCell ref="D4:D5"/>
    <mergeCell ref="E4:E5"/>
    <mergeCell ref="M4:M5"/>
    <mergeCell ref="N4:N5"/>
    <mergeCell ref="O4:O5"/>
    <mergeCell ref="P4:P5"/>
    <mergeCell ref="Q4:Q5"/>
  </mergeCells>
  <pageMargins left="0.51181102362204722" right="0.51181102362204722" top="0.98425196850393704" bottom="0.98425196850393704" header="0.51181102362204722" footer="0.51181102362204722"/>
  <pageSetup paperSize="9" scale="48" fitToHeight="0" orientation="landscape" r:id="rId1"/>
  <headerFooter>
    <oddHeader xml:space="preserve">&amp;L &amp;C </oddHeader>
    <oddFooter>&amp;L &amp;C&amp;A &amp;R&amp;P de&amp;N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5</vt:i4>
      </vt:variant>
    </vt:vector>
  </HeadingPairs>
  <TitlesOfParts>
    <vt:vector size="11" baseType="lpstr">
      <vt:lpstr>Orçamento Sintético</vt:lpstr>
      <vt:lpstr>Memória de Cálculo</vt:lpstr>
      <vt:lpstr>Orçamento Analítico</vt:lpstr>
      <vt:lpstr>CRONOG</vt:lpstr>
      <vt:lpstr>BDI</vt:lpstr>
      <vt:lpstr>Curva ABC de Insumos</vt:lpstr>
      <vt:lpstr>BDI!Area_de_impressao</vt:lpstr>
      <vt:lpstr>'Curva ABC de Insumos'!Area_de_impressao</vt:lpstr>
      <vt:lpstr>'Memória de Cálculo'!Area_de_impressao</vt:lpstr>
      <vt:lpstr>'Orçamento Analítico'!Area_de_impressao</vt:lpstr>
      <vt:lpstr>'Orçamento Sintético'!Area_de_impressao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Fernando@FACULDADE.FRANCOMONTORO</cp:lastModifiedBy>
  <cp:revision>0</cp:revision>
  <cp:lastPrinted>2025-06-03T12:07:21Z</cp:lastPrinted>
  <dcterms:created xsi:type="dcterms:W3CDTF">2020-09-02T14:41:05Z</dcterms:created>
  <dcterms:modified xsi:type="dcterms:W3CDTF">2025-06-03T12:09:50Z</dcterms:modified>
</cp:coreProperties>
</file>