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10.10.0.110\som\SOM.AYLTOM\2025\JAN FEV MAR\UBS YPE AMARELO\"/>
    </mc:Choice>
  </mc:AlternateContent>
  <xr:revisionPtr revIDLastSave="0" documentId="13_ncr:1_{34026E08-6AD9-4409-A381-556F60E98B7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ORÇ." sheetId="1" r:id="rId1"/>
    <sheet name="CRONO. FIS-FINAN" sheetId="2" r:id="rId2"/>
    <sheet name="BDI" sheetId="6" r:id="rId3"/>
  </sheets>
  <externalReferences>
    <externalReference r:id="rId4"/>
  </externalReferences>
  <definedNames>
    <definedName name="_xlnm.Print_Area" localSheetId="2">BDI!$A$1:$F$35</definedName>
    <definedName name="_xlnm.Print_Area" localSheetId="1">'CRONO. FIS-FINAN'!$B$1:$N$52</definedName>
    <definedName name="_xlnm.Print_Area" localSheetId="0">ORÇ.!$B$2:$K$235</definedName>
    <definedName name="_xlnm.Print_Titles" localSheetId="1">'CRONO. FIS-FINAN'!$1:$8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2" l="1"/>
  <c r="N43" i="2" s="1"/>
  <c r="N42" i="2" s="1"/>
  <c r="L22" i="2"/>
  <c r="L34" i="2"/>
  <c r="L43" i="2" s="1"/>
  <c r="L42" i="2" s="1"/>
  <c r="N31" i="2"/>
  <c r="M31" i="2"/>
  <c r="L31" i="2"/>
  <c r="K31" i="2"/>
  <c r="I25" i="2"/>
  <c r="J25" i="2"/>
  <c r="M22" i="2"/>
  <c r="M16" i="2"/>
  <c r="L19" i="2"/>
  <c r="K19" i="2"/>
  <c r="J19" i="2"/>
  <c r="I19" i="2"/>
  <c r="M43" i="2"/>
  <c r="M42" i="2" s="1"/>
  <c r="K43" i="2"/>
  <c r="K42" i="2" s="1"/>
  <c r="J43" i="2"/>
  <c r="J42" i="2" s="1"/>
  <c r="I43" i="2" l="1"/>
  <c r="H40" i="2"/>
  <c r="N40" i="2" s="1"/>
  <c r="H37" i="2"/>
  <c r="N37" i="2" s="1"/>
  <c r="H34" i="2"/>
  <c r="H31" i="2"/>
  <c r="H28" i="2"/>
  <c r="M28" i="2" s="1"/>
  <c r="H25" i="2"/>
  <c r="H22" i="2"/>
  <c r="H19" i="2"/>
  <c r="H16" i="2"/>
  <c r="B38" i="2"/>
  <c r="B35" i="2"/>
  <c r="B32" i="2"/>
  <c r="B29" i="2"/>
  <c r="B26" i="2"/>
  <c r="B23" i="2"/>
  <c r="B20" i="2"/>
  <c r="B17" i="2"/>
  <c r="B14" i="2"/>
  <c r="D38" i="2"/>
  <c r="D35" i="2"/>
  <c r="D32" i="2"/>
  <c r="D29" i="2"/>
  <c r="D26" i="2"/>
  <c r="D23" i="2"/>
  <c r="D20" i="2"/>
  <c r="D17" i="2"/>
  <c r="D14" i="2"/>
  <c r="D11" i="2"/>
  <c r="G115" i="1"/>
  <c r="I158" i="1"/>
  <c r="G61" i="1"/>
  <c r="I62" i="1"/>
  <c r="J62" i="1" s="1"/>
  <c r="G175" i="1"/>
  <c r="I175" i="1"/>
  <c r="G174" i="1"/>
  <c r="G164" i="1"/>
  <c r="I173" i="1"/>
  <c r="I174" i="1"/>
  <c r="I165" i="1"/>
  <c r="I164" i="1"/>
  <c r="G163" i="1"/>
  <c r="G162" i="1" s="1"/>
  <c r="G165" i="1" s="1"/>
  <c r="I166" i="1"/>
  <c r="J166" i="1" s="1"/>
  <c r="I130" i="1"/>
  <c r="J130" i="1" s="1"/>
  <c r="I171" i="1"/>
  <c r="I28" i="1"/>
  <c r="J28" i="1" s="1"/>
  <c r="I157" i="1"/>
  <c r="I45" i="2" l="1"/>
  <c r="I42" i="2"/>
  <c r="M40" i="2"/>
  <c r="L16" i="2"/>
  <c r="K16" i="2"/>
  <c r="L28" i="2"/>
  <c r="M34" i="2"/>
  <c r="N28" i="2"/>
  <c r="J175" i="1"/>
  <c r="J164" i="1"/>
  <c r="J165" i="1"/>
  <c r="J171" i="1"/>
  <c r="G167" i="1"/>
  <c r="I163" i="1"/>
  <c r="I167" i="1"/>
  <c r="I29" i="1"/>
  <c r="J29" i="1" s="1"/>
  <c r="J27" i="1" s="1"/>
  <c r="I97" i="1"/>
  <c r="I75" i="1"/>
  <c r="I67" i="1"/>
  <c r="I60" i="1"/>
  <c r="I111" i="1"/>
  <c r="I112" i="1"/>
  <c r="J112" i="1" s="1"/>
  <c r="G131" i="1"/>
  <c r="I185" i="1"/>
  <c r="G182" i="1"/>
  <c r="I181" i="1"/>
  <c r="J181" i="1" s="1"/>
  <c r="G84" i="1"/>
  <c r="I84" i="1"/>
  <c r="I85" i="1"/>
  <c r="J85" i="1" s="1"/>
  <c r="D21" i="1"/>
  <c r="D20" i="1"/>
  <c r="D19" i="1"/>
  <c r="D18" i="1"/>
  <c r="D17" i="1"/>
  <c r="D16" i="1"/>
  <c r="D15" i="1"/>
  <c r="D14" i="1"/>
  <c r="D13" i="1"/>
  <c r="J45" i="2" l="1"/>
  <c r="K45" i="2" s="1"/>
  <c r="L45" i="2" s="1"/>
  <c r="M45" i="2" s="1"/>
  <c r="N45" i="2" s="1"/>
  <c r="I44" i="2"/>
  <c r="J44" i="2" s="1"/>
  <c r="K44" i="2" s="1"/>
  <c r="L44" i="2" s="1"/>
  <c r="M44" i="2" s="1"/>
  <c r="N44" i="2" s="1"/>
  <c r="J157" i="1"/>
  <c r="G161" i="1"/>
  <c r="J167" i="1"/>
  <c r="J163" i="1"/>
  <c r="J111" i="1"/>
  <c r="J84" i="1"/>
  <c r="G184" i="1"/>
  <c r="G72" i="1"/>
  <c r="G80" i="1"/>
  <c r="G176" i="1"/>
  <c r="G70" i="1"/>
  <c r="G69" i="1"/>
  <c r="G68" i="1"/>
  <c r="G218" i="1"/>
  <c r="G219" i="1"/>
  <c r="G202" i="1"/>
  <c r="J158" i="1" l="1"/>
  <c r="I202" i="1"/>
  <c r="J202" i="1" s="1"/>
  <c r="I203" i="1"/>
  <c r="J203" i="1" s="1"/>
  <c r="I204" i="1"/>
  <c r="J204" i="1" s="1"/>
  <c r="I205" i="1"/>
  <c r="J205" i="1" s="1"/>
  <c r="I206" i="1"/>
  <c r="J206" i="1" s="1"/>
  <c r="I207" i="1"/>
  <c r="J207" i="1" s="1"/>
  <c r="I208" i="1"/>
  <c r="J208" i="1" s="1"/>
  <c r="I209" i="1"/>
  <c r="J209" i="1" s="1"/>
  <c r="I210" i="1"/>
  <c r="J210" i="1" s="1"/>
  <c r="I211" i="1"/>
  <c r="J211" i="1" s="1"/>
  <c r="I212" i="1"/>
  <c r="J212" i="1" s="1"/>
  <c r="I213" i="1"/>
  <c r="J213" i="1" s="1"/>
  <c r="I214" i="1"/>
  <c r="J214" i="1" s="1"/>
  <c r="I215" i="1"/>
  <c r="J215" i="1" s="1"/>
  <c r="I216" i="1"/>
  <c r="J216" i="1" s="1"/>
  <c r="G144" i="1"/>
  <c r="G145" i="1" s="1"/>
  <c r="I145" i="1"/>
  <c r="G146" i="1"/>
  <c r="I90" i="1"/>
  <c r="J90" i="1" s="1"/>
  <c r="I89" i="1"/>
  <c r="J89" i="1" s="1"/>
  <c r="G132" i="1"/>
  <c r="I129" i="1"/>
  <c r="J129" i="1" s="1"/>
  <c r="I131" i="1"/>
  <c r="I132" i="1"/>
  <c r="I113" i="1"/>
  <c r="J113" i="1" s="1"/>
  <c r="I109" i="1"/>
  <c r="G116" i="1"/>
  <c r="G117" i="1"/>
  <c r="I201" i="1"/>
  <c r="J201" i="1" s="1"/>
  <c r="G52" i="1"/>
  <c r="I136" i="1"/>
  <c r="J136" i="1" s="1"/>
  <c r="G151" i="1"/>
  <c r="I161" i="1"/>
  <c r="I64" i="1"/>
  <c r="J64" i="1" s="1"/>
  <c r="I50" i="1"/>
  <c r="G50" i="1"/>
  <c r="I49" i="1"/>
  <c r="G49" i="1"/>
  <c r="I48" i="1"/>
  <c r="G48" i="1"/>
  <c r="I47" i="1"/>
  <c r="G47" i="1"/>
  <c r="I46" i="1"/>
  <c r="J46" i="1" s="1"/>
  <c r="I45" i="1"/>
  <c r="J45" i="1" s="1"/>
  <c r="I44" i="1"/>
  <c r="J44" i="1" s="1"/>
  <c r="I43" i="1"/>
  <c r="J43" i="1" s="1"/>
  <c r="I42" i="1"/>
  <c r="J42" i="1" s="1"/>
  <c r="I41" i="1"/>
  <c r="G41" i="1"/>
  <c r="I40" i="1"/>
  <c r="G40" i="1"/>
  <c r="I39" i="1"/>
  <c r="G39" i="1"/>
  <c r="I38" i="1"/>
  <c r="G38" i="1"/>
  <c r="I37" i="1"/>
  <c r="J37" i="1" s="1"/>
  <c r="I36" i="1"/>
  <c r="G36" i="1"/>
  <c r="J200" i="1" l="1"/>
  <c r="J109" i="1"/>
  <c r="J145" i="1"/>
  <c r="J131" i="1"/>
  <c r="J132" i="1"/>
  <c r="G51" i="1"/>
  <c r="J38" i="1"/>
  <c r="J161" i="1"/>
  <c r="J39" i="1"/>
  <c r="J41" i="1"/>
  <c r="J49" i="1"/>
  <c r="J50" i="1"/>
  <c r="J48" i="1"/>
  <c r="J47" i="1"/>
  <c r="J40" i="1"/>
  <c r="J36" i="1"/>
  <c r="G173" i="1" l="1"/>
  <c r="J173" i="1" s="1"/>
  <c r="G154" i="1"/>
  <c r="I199" i="1" l="1"/>
  <c r="J199" i="1" s="1"/>
  <c r="I35" i="1"/>
  <c r="J35" i="1" s="1"/>
  <c r="I32" i="1"/>
  <c r="J32" i="1" s="1"/>
  <c r="I33" i="1"/>
  <c r="J33" i="1" s="1"/>
  <c r="J185" i="1" l="1"/>
  <c r="I65" i="1" l="1"/>
  <c r="J65" i="1" s="1"/>
  <c r="I66" i="1"/>
  <c r="J66" i="1" s="1"/>
  <c r="J67" i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J75" i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3" i="1"/>
  <c r="J83" i="1" s="1"/>
  <c r="I86" i="1"/>
  <c r="J86" i="1" s="1"/>
  <c r="I87" i="1"/>
  <c r="J87" i="1" s="1"/>
  <c r="I88" i="1"/>
  <c r="J88" i="1" s="1"/>
  <c r="I196" i="1"/>
  <c r="J196" i="1" s="1"/>
  <c r="I197" i="1"/>
  <c r="J197" i="1" s="1"/>
  <c r="I198" i="1"/>
  <c r="J198" i="1" s="1"/>
  <c r="I219" i="1"/>
  <c r="J219" i="1" s="1"/>
  <c r="I218" i="1"/>
  <c r="J218" i="1" s="1"/>
  <c r="I61" i="1"/>
  <c r="J61" i="1" s="1"/>
  <c r="I57" i="1"/>
  <c r="J57" i="1" s="1"/>
  <c r="I58" i="1"/>
  <c r="J58" i="1" s="1"/>
  <c r="I54" i="1"/>
  <c r="J54" i="1" s="1"/>
  <c r="I34" i="1"/>
  <c r="J34" i="1" s="1"/>
  <c r="I51" i="1"/>
  <c r="J51" i="1" s="1"/>
  <c r="I52" i="1"/>
  <c r="J52" i="1" s="1"/>
  <c r="I93" i="1"/>
  <c r="J93" i="1" s="1"/>
  <c r="I94" i="1"/>
  <c r="J94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10" i="1"/>
  <c r="J110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33" i="1"/>
  <c r="J133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6" i="1"/>
  <c r="J146" i="1" s="1"/>
  <c r="I147" i="1"/>
  <c r="J147" i="1" s="1"/>
  <c r="I151" i="1"/>
  <c r="J151" i="1" s="1"/>
  <c r="I152" i="1"/>
  <c r="J152" i="1" s="1"/>
  <c r="I153" i="1"/>
  <c r="J153" i="1" s="1"/>
  <c r="I159" i="1"/>
  <c r="J159" i="1" s="1"/>
  <c r="I154" i="1"/>
  <c r="J154" i="1" s="1"/>
  <c r="I160" i="1"/>
  <c r="J160" i="1" s="1"/>
  <c r="I162" i="1"/>
  <c r="J162" i="1" s="1"/>
  <c r="I178" i="1"/>
  <c r="J178" i="1" s="1"/>
  <c r="J177" i="1" s="1"/>
  <c r="I179" i="1"/>
  <c r="J179" i="1" s="1"/>
  <c r="I180" i="1"/>
  <c r="J180" i="1" s="1"/>
  <c r="I182" i="1"/>
  <c r="J182" i="1" s="1"/>
  <c r="I169" i="1"/>
  <c r="J169" i="1" s="1"/>
  <c r="I170" i="1"/>
  <c r="J170" i="1" s="1"/>
  <c r="I172" i="1"/>
  <c r="J172" i="1" s="1"/>
  <c r="J174" i="1"/>
  <c r="I176" i="1"/>
  <c r="J176" i="1" s="1"/>
  <c r="I186" i="1"/>
  <c r="J186" i="1" s="1"/>
  <c r="I189" i="1"/>
  <c r="J189" i="1" s="1"/>
  <c r="I190" i="1"/>
  <c r="J190" i="1" s="1"/>
  <c r="I191" i="1"/>
  <c r="J191" i="1" s="1"/>
  <c r="I192" i="1"/>
  <c r="J192" i="1" s="1"/>
  <c r="I193" i="1"/>
  <c r="J193" i="1" s="1"/>
  <c r="I188" i="1"/>
  <c r="J188" i="1" s="1"/>
  <c r="I184" i="1"/>
  <c r="J184" i="1" s="1"/>
  <c r="I156" i="1"/>
  <c r="J156" i="1" s="1"/>
  <c r="I150" i="1"/>
  <c r="J150" i="1" s="1"/>
  <c r="I138" i="1"/>
  <c r="J138" i="1" s="1"/>
  <c r="I135" i="1"/>
  <c r="J135" i="1" s="1"/>
  <c r="J134" i="1" s="1"/>
  <c r="I122" i="1"/>
  <c r="J122" i="1" s="1"/>
  <c r="I99" i="1"/>
  <c r="J99" i="1" s="1"/>
  <c r="J97" i="1"/>
  <c r="J96" i="1" s="1"/>
  <c r="I92" i="1"/>
  <c r="J92" i="1" s="1"/>
  <c r="J91" i="1" s="1"/>
  <c r="J60" i="1"/>
  <c r="I31" i="1"/>
  <c r="J31" i="1" s="1"/>
  <c r="I221" i="1"/>
  <c r="I222" i="1"/>
  <c r="J222" i="1" s="1"/>
  <c r="I26" i="1"/>
  <c r="J26" i="1" s="1"/>
  <c r="J98" i="1" l="1"/>
  <c r="J149" i="1"/>
  <c r="J56" i="1"/>
  <c r="J121" i="1"/>
  <c r="J137" i="1"/>
  <c r="J194" i="1"/>
  <c r="I19" i="1" s="1"/>
  <c r="J195" i="1"/>
  <c r="J155" i="1"/>
  <c r="J187" i="1"/>
  <c r="J168" i="1"/>
  <c r="J82" i="1"/>
  <c r="J30" i="1"/>
  <c r="I14" i="1" s="1"/>
  <c r="J183" i="1"/>
  <c r="J59" i="1"/>
  <c r="J63" i="1"/>
  <c r="I13" i="1"/>
  <c r="J217" i="1"/>
  <c r="J53" i="1"/>
  <c r="I15" i="1" s="1"/>
  <c r="J221" i="1"/>
  <c r="J220" i="1" s="1"/>
  <c r="I21" i="1" s="1"/>
  <c r="J148" i="1" l="1"/>
  <c r="I18" i="1" s="1"/>
  <c r="I20" i="1"/>
  <c r="J95" i="1"/>
  <c r="I17" i="1" s="1"/>
  <c r="J55" i="1"/>
  <c r="I16" i="1" s="1"/>
  <c r="L7" i="2" l="1"/>
  <c r="E23" i="6" l="1"/>
  <c r="D23" i="6"/>
  <c r="F23" i="6" s="1"/>
  <c r="C23" i="6"/>
  <c r="E22" i="6"/>
  <c r="D22" i="6"/>
  <c r="F22" i="6" s="1"/>
  <c r="C22" i="6"/>
  <c r="E21" i="6"/>
  <c r="D21" i="6"/>
  <c r="C21" i="6"/>
  <c r="E20" i="6"/>
  <c r="D20" i="6"/>
  <c r="F20" i="6" s="1"/>
  <c r="C20" i="6"/>
  <c r="E19" i="6"/>
  <c r="D19" i="6"/>
  <c r="F19" i="6" s="1"/>
  <c r="C19" i="6"/>
  <c r="E18" i="6"/>
  <c r="D18" i="6"/>
  <c r="C18" i="6"/>
  <c r="D8" i="6"/>
  <c r="G20" i="6" l="1"/>
  <c r="F21" i="6"/>
  <c r="G21" i="6" s="1"/>
  <c r="G23" i="6"/>
  <c r="G22" i="6"/>
  <c r="F28" i="6"/>
  <c r="G28" i="6" s="1"/>
  <c r="G19" i="6"/>
  <c r="F29" i="6" l="1"/>
  <c r="I8" i="1"/>
  <c r="J25" i="1" l="1"/>
  <c r="I12" i="1" l="1"/>
  <c r="D12" i="1"/>
  <c r="I8" i="2" l="1"/>
  <c r="K8" i="2" l="1"/>
  <c r="K7" i="2"/>
  <c r="J8" i="2"/>
  <c r="J7" i="2"/>
  <c r="I7" i="2"/>
  <c r="H8" i="2"/>
  <c r="H7" i="2"/>
  <c r="D8" i="2"/>
  <c r="D7" i="2"/>
  <c r="E2" i="2"/>
  <c r="B11" i="2"/>
  <c r="H13" i="2" l="1"/>
  <c r="H43" i="2" s="1"/>
  <c r="M13" i="2" l="1"/>
  <c r="L13" i="2"/>
  <c r="N13" i="2"/>
  <c r="I13" i="2"/>
  <c r="K13" i="2"/>
  <c r="J13" i="2"/>
  <c r="I22" i="1"/>
  <c r="J26" i="2" l="1"/>
  <c r="K26" i="2"/>
  <c r="N23" i="2"/>
  <c r="I32" i="2"/>
  <c r="I23" i="2"/>
  <c r="J23" i="2"/>
  <c r="K29" i="2"/>
  <c r="J32" i="2"/>
  <c r="K32" i="2"/>
  <c r="K23" i="2"/>
  <c r="J20" i="2"/>
  <c r="L32" i="2"/>
  <c r="I20" i="2"/>
  <c r="I29" i="2"/>
  <c r="J29" i="2"/>
  <c r="K20" i="2"/>
  <c r="I26" i="2"/>
  <c r="M23" i="2"/>
  <c r="H11" i="2"/>
  <c r="I17" i="2"/>
  <c r="M14" i="2"/>
  <c r="N14" i="2"/>
  <c r="L23" i="2"/>
  <c r="J14" i="2"/>
  <c r="L29" i="2"/>
  <c r="N17" i="2"/>
  <c r="M29" i="2"/>
  <c r="L20" i="2"/>
  <c r="M26" i="2"/>
  <c r="N29" i="2"/>
  <c r="I14" i="2"/>
  <c r="K17" i="2"/>
  <c r="L17" i="2"/>
  <c r="M17" i="2"/>
  <c r="N26" i="2"/>
  <c r="J17" i="2"/>
  <c r="L26" i="2"/>
  <c r="K14" i="2"/>
  <c r="L14" i="2"/>
  <c r="I11" i="2"/>
  <c r="N11" i="2"/>
  <c r="M11" i="2"/>
  <c r="K33" i="1"/>
  <c r="N32" i="2"/>
  <c r="M38" i="2"/>
  <c r="N35" i="2"/>
  <c r="M35" i="2"/>
  <c r="M32" i="2"/>
  <c r="M20" i="2"/>
  <c r="N20" i="2"/>
  <c r="N38" i="2"/>
  <c r="K175" i="1"/>
  <c r="K62" i="1"/>
  <c r="K173" i="1"/>
  <c r="K194" i="1"/>
  <c r="K217" i="1"/>
  <c r="K164" i="1"/>
  <c r="K165" i="1"/>
  <c r="K130" i="1"/>
  <c r="K166" i="1"/>
  <c r="K28" i="1"/>
  <c r="K171" i="1"/>
  <c r="K158" i="1"/>
  <c r="K157" i="1"/>
  <c r="K167" i="1"/>
  <c r="K163" i="1"/>
  <c r="K29" i="1"/>
  <c r="K111" i="1"/>
  <c r="K110" i="1"/>
  <c r="K112" i="1"/>
  <c r="K181" i="1"/>
  <c r="K185" i="1"/>
  <c r="K84" i="1"/>
  <c r="J21" i="1"/>
  <c r="K85" i="1"/>
  <c r="K145" i="1"/>
  <c r="K210" i="1"/>
  <c r="K215" i="1"/>
  <c r="K209" i="1"/>
  <c r="K204" i="1"/>
  <c r="K216" i="1"/>
  <c r="K211" i="1"/>
  <c r="K213" i="1"/>
  <c r="K203" i="1"/>
  <c r="K208" i="1"/>
  <c r="K205" i="1"/>
  <c r="K206" i="1"/>
  <c r="K214" i="1"/>
  <c r="K212" i="1"/>
  <c r="K207" i="1"/>
  <c r="K202" i="1"/>
  <c r="K89" i="1"/>
  <c r="K90" i="1"/>
  <c r="K113" i="1"/>
  <c r="K131" i="1"/>
  <c r="K129" i="1"/>
  <c r="K132" i="1"/>
  <c r="K109" i="1"/>
  <c r="K136" i="1"/>
  <c r="K201" i="1"/>
  <c r="K200" i="1"/>
  <c r="K195" i="1"/>
  <c r="K64" i="1"/>
  <c r="K161" i="1"/>
  <c r="K43" i="1"/>
  <c r="K45" i="1"/>
  <c r="K39" i="1"/>
  <c r="K50" i="1"/>
  <c r="K47" i="1"/>
  <c r="K42" i="1"/>
  <c r="K40" i="1"/>
  <c r="K41" i="1"/>
  <c r="K49" i="1"/>
  <c r="K46" i="1"/>
  <c r="K37" i="1"/>
  <c r="K48" i="1"/>
  <c r="K38" i="1"/>
  <c r="K44" i="1"/>
  <c r="K36" i="1"/>
  <c r="K187" i="1"/>
  <c r="K134" i="1"/>
  <c r="K137" i="1"/>
  <c r="K177" i="1"/>
  <c r="K183" i="1"/>
  <c r="K155" i="1"/>
  <c r="K168" i="1"/>
  <c r="K149" i="1"/>
  <c r="K148" i="1"/>
  <c r="K98" i="1"/>
  <c r="K121" i="1"/>
  <c r="K96" i="1"/>
  <c r="K95" i="1"/>
  <c r="K82" i="1"/>
  <c r="K91" i="1"/>
  <c r="K59" i="1"/>
  <c r="K63" i="1"/>
  <c r="K199" i="1"/>
  <c r="K56" i="1"/>
  <c r="K55" i="1"/>
  <c r="K32" i="1"/>
  <c r="K35" i="1"/>
  <c r="K178" i="1"/>
  <c r="K124" i="1"/>
  <c r="K128" i="1"/>
  <c r="K192" i="1"/>
  <c r="K197" i="1"/>
  <c r="K182" i="1"/>
  <c r="K103" i="1"/>
  <c r="K126" i="1"/>
  <c r="K81" i="1"/>
  <c r="K160" i="1"/>
  <c r="K117" i="1"/>
  <c r="K94" i="1"/>
  <c r="K83" i="1"/>
  <c r="K52" i="1"/>
  <c r="K51" i="1"/>
  <c r="K97" i="1"/>
  <c r="K71" i="1"/>
  <c r="K87" i="1"/>
  <c r="K139" i="1"/>
  <c r="K69" i="1"/>
  <c r="K144" i="1"/>
  <c r="K180" i="1"/>
  <c r="K179" i="1"/>
  <c r="K57" i="1"/>
  <c r="K122" i="1"/>
  <c r="K147" i="1"/>
  <c r="K77" i="1"/>
  <c r="K105" i="1"/>
  <c r="K170" i="1"/>
  <c r="K75" i="1"/>
  <c r="K73" i="1"/>
  <c r="K120" i="1"/>
  <c r="K61" i="1"/>
  <c r="K191" i="1"/>
  <c r="K88" i="1"/>
  <c r="K172" i="1"/>
  <c r="K123" i="1"/>
  <c r="K68" i="1"/>
  <c r="K174" i="1"/>
  <c r="K86" i="1"/>
  <c r="K153" i="1"/>
  <c r="K60" i="1"/>
  <c r="K65" i="1"/>
  <c r="K34" i="1"/>
  <c r="K119" i="1"/>
  <c r="K118" i="1"/>
  <c r="K27" i="1"/>
  <c r="K133" i="1"/>
  <c r="K93" i="1"/>
  <c r="K198" i="1"/>
  <c r="K72" i="1"/>
  <c r="K162" i="1"/>
  <c r="K67" i="1"/>
  <c r="K140" i="1"/>
  <c r="K184" i="1"/>
  <c r="K146" i="1"/>
  <c r="K74" i="1"/>
  <c r="K115" i="1"/>
  <c r="K101" i="1"/>
  <c r="K127" i="1"/>
  <c r="K135" i="1"/>
  <c r="K106" i="1"/>
  <c r="K99" i="1"/>
  <c r="K188" i="1"/>
  <c r="K107" i="1"/>
  <c r="K196" i="1"/>
  <c r="K108" i="1"/>
  <c r="K190" i="1"/>
  <c r="K76" i="1"/>
  <c r="K169" i="1"/>
  <c r="K150" i="1"/>
  <c r="K154" i="1"/>
  <c r="K218" i="1"/>
  <c r="K114" i="1"/>
  <c r="K79" i="1"/>
  <c r="K102" i="1"/>
  <c r="K100" i="1"/>
  <c r="K70" i="1"/>
  <c r="K31" i="1"/>
  <c r="J224" i="1" s="1"/>
  <c r="K151" i="1"/>
  <c r="K141" i="1"/>
  <c r="K219" i="1"/>
  <c r="K156" i="1"/>
  <c r="K54" i="1"/>
  <c r="K142" i="1"/>
  <c r="K152" i="1"/>
  <c r="K176" i="1"/>
  <c r="K186" i="1"/>
  <c r="K159" i="1"/>
  <c r="K189" i="1"/>
  <c r="K116" i="1"/>
  <c r="K66" i="1"/>
  <c r="K58" i="1"/>
  <c r="K92" i="1"/>
  <c r="K78" i="1"/>
  <c r="K138" i="1"/>
  <c r="K80" i="1"/>
  <c r="K143" i="1"/>
  <c r="K125" i="1"/>
  <c r="K104" i="1"/>
  <c r="K193" i="1"/>
  <c r="K53" i="1"/>
  <c r="K221" i="1"/>
  <c r="K222" i="1"/>
  <c r="K220" i="1"/>
  <c r="K26" i="1"/>
  <c r="J11" i="2"/>
  <c r="J35" i="2"/>
  <c r="L35" i="2"/>
  <c r="J38" i="2"/>
  <c r="L38" i="2"/>
  <c r="I35" i="2"/>
  <c r="K35" i="2"/>
  <c r="I38" i="2"/>
  <c r="K38" i="2"/>
  <c r="H29" i="2"/>
  <c r="H38" i="2"/>
  <c r="H17" i="2"/>
  <c r="H20" i="2"/>
  <c r="H35" i="2"/>
  <c r="H26" i="2"/>
  <c r="H32" i="2"/>
  <c r="H23" i="2"/>
  <c r="H14" i="2"/>
  <c r="K25" i="1"/>
  <c r="J13" i="1"/>
  <c r="J14" i="1"/>
  <c r="J16" i="1"/>
  <c r="J19" i="1"/>
  <c r="J20" i="1"/>
  <c r="J15" i="1"/>
  <c r="J17" i="1"/>
  <c r="J18" i="1"/>
  <c r="J12" i="1"/>
  <c r="H42" i="2" l="1"/>
  <c r="L11" i="2"/>
  <c r="K11" i="2"/>
  <c r="K30" i="1"/>
  <c r="J22" i="1"/>
</calcChain>
</file>

<file path=xl/sharedStrings.xml><?xml version="1.0" encoding="utf-8"?>
<sst xmlns="http://schemas.openxmlformats.org/spreadsheetml/2006/main" count="934" uniqueCount="581">
  <si>
    <t>PREFEITURA MUNICIPAL DE MOGI GUAÇU - SP</t>
  </si>
  <si>
    <t>DESCRIÇÃO</t>
  </si>
  <si>
    <t>SERVIÇOS PRELIMINARES</t>
  </si>
  <si>
    <t>ITEM</t>
  </si>
  <si>
    <t>m³</t>
  </si>
  <si>
    <t>m²</t>
  </si>
  <si>
    <t>FONTE / CÓDIGO</t>
  </si>
  <si>
    <t>VALOR UNITÁRIO</t>
  </si>
  <si>
    <t>QUANT</t>
  </si>
  <si>
    <t>UNID</t>
  </si>
  <si>
    <t>SINAPI</t>
  </si>
  <si>
    <t>LIMPEZA FINAL</t>
  </si>
  <si>
    <t>VALOR UNITÁRIO C/ BDI</t>
  </si>
  <si>
    <t>CUSTO TOTAL</t>
  </si>
  <si>
    <t>Objeto:</t>
  </si>
  <si>
    <t>Local:</t>
  </si>
  <si>
    <t>BDI:</t>
  </si>
  <si>
    <t>Atualizado:</t>
  </si>
  <si>
    <t>(%) ITENS</t>
  </si>
  <si>
    <t>QUADRO RESUMO DO ORÇAMENTO</t>
  </si>
  <si>
    <t>CUSTO TOTAL COM BDI INCLUSO:</t>
  </si>
  <si>
    <t>Secretário de Obras e Mobilidade</t>
  </si>
  <si>
    <t>SUBTOTAL:</t>
  </si>
  <si>
    <t>CRONOGRAMA FÍSICO-FINANCEIRO</t>
  </si>
  <si>
    <t>VALOR</t>
  </si>
  <si>
    <t>VALOR MENSAL DA OBRA</t>
  </si>
  <si>
    <t>VALOR ACUMULADO</t>
  </si>
  <si>
    <t>1° MÊS</t>
  </si>
  <si>
    <t>2° MÊS</t>
  </si>
  <si>
    <t>3° MÊS</t>
  </si>
  <si>
    <t>RUA HENRIQUE COPPI, Nº 200 - CENTRO – EDIFÍCIO DO  PAÇO MUNICIPAL - CEP 13840-061</t>
  </si>
  <si>
    <t>MOGI GUAÇU - SP – CNPJ Nº 45.301.264/0001-13 – INSCRIÇÃO ESTADUAL: ISENTA</t>
  </si>
  <si>
    <t>m</t>
  </si>
  <si>
    <t>05.07.040</t>
  </si>
  <si>
    <t>Remoção de entulho separado de obra com caçamba metálica - terra,
alvenaria, concreto, argamassa, madeira, papel, plástico ou metal</t>
  </si>
  <si>
    <t>44.03.130</t>
  </si>
  <si>
    <t>44.03.050</t>
  </si>
  <si>
    <t>Assessor I</t>
  </si>
  <si>
    <t xml:space="preserve">CDHU  </t>
  </si>
  <si>
    <t>CDHU</t>
  </si>
  <si>
    <t>Daniel Rossi</t>
  </si>
  <si>
    <t>FDE</t>
  </si>
  <si>
    <t>COMPOSIÇÃO DE BENEFÍCIOS E DESPESAS INDIRETAS ( BDI )</t>
  </si>
  <si>
    <t>Identifique o tipo de obra:</t>
  </si>
  <si>
    <t>Construção de edifícios:</t>
  </si>
  <si>
    <t>Informe a base de cálculo do ISSQN.</t>
  </si>
  <si>
    <t>Construção de rodovias e ferrovias:</t>
  </si>
  <si>
    <t>X</t>
  </si>
  <si>
    <t>Sobre os serviços.</t>
  </si>
  <si>
    <t>Construção de redes de abastecimento de água, coleta de esgoto e construções correlatas:</t>
  </si>
  <si>
    <t>Sobre a mão-de-obra.</t>
  </si>
  <si>
    <t>Construção e manutenção de estações e redes de distribuição de energia elétrica:</t>
  </si>
  <si>
    <t>Informe a ocorrência da DESONERAÇÃO da folha de pagamento. Lei 13.161/2015.</t>
  </si>
  <si>
    <t>Obras portuárias, marítimas e fluviais:</t>
  </si>
  <si>
    <t>SEM Desoneração.</t>
  </si>
  <si>
    <t>Fornecimento de materiais e equipamentos:</t>
  </si>
  <si>
    <t>COM Desoneração.</t>
  </si>
  <si>
    <t>Intervalo de admissibilidade</t>
  </si>
  <si>
    <t>Item Componente do BDI</t>
  </si>
  <si>
    <t>1º Quartil</t>
  </si>
  <si>
    <t>Médio</t>
  </si>
  <si>
    <t>3º Quartil</t>
  </si>
  <si>
    <t>Valores Propostos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</si>
  <si>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</si>
  <si>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</si>
  <si>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</si>
  <si>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</si>
  <si>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</si>
  <si>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</t>
    </r>
  </si>
  <si>
    <r>
      <t>I2:</t>
    </r>
    <r>
      <rPr>
        <sz val="12"/>
        <rFont val="Arial"/>
        <family val="2"/>
      </rPr>
      <t xml:space="preserve"> ISSQN (conforme legislação municipal)</t>
    </r>
  </si>
  <si>
    <t>I3: Cont.Prev s/Rec.Bruta (Lei 13.161/15 - Desoneração)</t>
  </si>
  <si>
    <t>BDI - SEM Desoneração da folha de pagamento</t>
  </si>
  <si>
    <t>BDI - COM Desoneração da folha de pagamento</t>
  </si>
  <si>
    <t>Declaramos que esta planilha foi elaborada conforme equação para cálculo do percentual do BDI recomendada pelo Acórdão 2622/2013 - TCU, representada pela fórmula abaixo.</t>
  </si>
  <si>
    <t>BDI - SEM Desoneração = [(1+AC+S+G+R)X(1+DF)X(1+L)/(1-I1-I2)]-1</t>
  </si>
  <si>
    <t>x</t>
  </si>
  <si>
    <t>4° MÊS</t>
  </si>
  <si>
    <t>REFORMA E CONSTRUÇÃO (AMPLIAÇÃO) DA UBS YPÊ AMARELO</t>
  </si>
  <si>
    <t>RUA GEORGINA THEODORO DE OLIVEIRA COM A RUA MARIA TEREZA VEDOVELLO - MOGI GUAÇU - SP.</t>
  </si>
  <si>
    <t>Elaboração de projeto de adequação de entrada de energia elétrica junto a concessionária, com medição em média tensão, subestação simplificada e demanda de 75 kVA a 300 kVA</t>
  </si>
  <si>
    <t>01.06.031</t>
  </si>
  <si>
    <t>limpeza mecanizada de camada vegetal, vegetação e pequenas árvores (diâmetro de tronco menor que 0,20 m), com trator de esteiras.af_05/2018</t>
  </si>
  <si>
    <t>98525</t>
  </si>
  <si>
    <t>un</t>
  </si>
  <si>
    <t>escavação manual de vala com profundidade menor ou igual a 1,30 m. af_03/2016</t>
  </si>
  <si>
    <t>unid</t>
  </si>
  <si>
    <t>PLANILHA ESTIMATIVA DE CUSTO</t>
  </si>
  <si>
    <t>23.20.170</t>
  </si>
  <si>
    <t>28.20.220</t>
  </si>
  <si>
    <t>28.20.230</t>
  </si>
  <si>
    <t>28.20.600</t>
  </si>
  <si>
    <t>28.20.770</t>
  </si>
  <si>
    <t>24.03.200</t>
  </si>
  <si>
    <t>16.32.120</t>
  </si>
  <si>
    <t>Cobertura plana em chapa de policarbonato alveolar de 10 mm</t>
  </si>
  <si>
    <t>INSTALAÇÕES HIDRÁULICAS</t>
  </si>
  <si>
    <t xml:space="preserve">ABASTECIMENTO DE ÁGUA E ESGOTAMENTO SANITÁRIO </t>
  </si>
  <si>
    <t>registro de gaveta bruto, latão, roscável, 3/4", com acabamento e canopla cromados. fornecido e instalado em ramal de água. af_12/2014</t>
  </si>
  <si>
    <t>kit de registro de gaveta bruto de latão ¾", inclusive conexões, roscável, instalado em ramal de água fria - fornecimento e instalação. af_12/2014</t>
  </si>
  <si>
    <t>16.05.032</t>
  </si>
  <si>
    <t>ca-22 canaleta de aguas pluviais em concreto (30cm)</t>
  </si>
  <si>
    <t>LOUÇAS, METAIS E ACESSÓRIOS</t>
  </si>
  <si>
    <t>vaso sanitario sifonado convencional com louça branca - fornecimento e instalação. af_10/2016</t>
  </si>
  <si>
    <t>válvula de descarga metálica, base 1 1/2 ", acabamento metalico cromado - fornecimento e instalação. af_01/2019</t>
  </si>
  <si>
    <t>44.01.240</t>
  </si>
  <si>
    <t>Lavatório em louça com coluna suspensa</t>
  </si>
  <si>
    <t>08.17.085</t>
  </si>
  <si>
    <t>torneira cromada de fechamento automatico de mesa com arejador</t>
  </si>
  <si>
    <t>Saboneteira tipo dispenser, para refil de 800 ml</t>
  </si>
  <si>
    <t>44.03.180</t>
  </si>
  <si>
    <t>Dispenser toalheiro em ABS, para folhas</t>
  </si>
  <si>
    <t>Dispenser papel higiênico em ABS para rolão 300 / 600 m, com visor</t>
  </si>
  <si>
    <t>44.06.010</t>
  </si>
  <si>
    <t>Lavatório coletivo em aço inoxidável</t>
  </si>
  <si>
    <t>Cuba em aço inoxidável simples de 500x400x300mm</t>
  </si>
  <si>
    <t>08.84.031</t>
  </si>
  <si>
    <t>torneira cromada de fechamento automatico de parede de bica alta</t>
  </si>
  <si>
    <t>43.02.180</t>
  </si>
  <si>
    <t>Ducha manual futura com desviador, mangueira lisa 2,20 m</t>
  </si>
  <si>
    <t>registro de pressão bruto, latão, roscável, 3/4", com acabamento e canopla cromados. fornecido e instalado em ramal de água. af_12/2014</t>
  </si>
  <si>
    <t>tanque de louça branca com coluna, 30l ou equivalente, incluso sifão flexível em pvc, válvula metálica e torneira de metal cromado padrão médio - fornecimento e instalação. af_12/2013</t>
  </si>
  <si>
    <t>torneira cromada 1/2" ou 3/4" para tanque, padrão popular - fornecimento e instalação. af_12/2013</t>
  </si>
  <si>
    <t>sifão do tipo flexível em pvc  - fornecimento e instalação.</t>
  </si>
  <si>
    <t>ralo sifonado, tampa metálica escamoteada, dn 100 x 40 mm, junta soldável, fornecido e instalado em ramal de descarga ou em ramal de esgoto sanitário. af_12/2014</t>
  </si>
  <si>
    <t>ACESSIBILIDADE</t>
  </si>
  <si>
    <t>vaso sanitario sifonado convencional para pcd sem furo frontal com louça branca sem assento, incluso conjunto de ligação para bacia sanitária ajustável - fornecimento e instalação. af_10/2016</t>
  </si>
  <si>
    <t>30.01.030</t>
  </si>
  <si>
    <t>Barra de apoio reta, para pessoas com mobilidade reduzida, em tubo de aço inoxidável de 1 1/2´x 800 mm</t>
  </si>
  <si>
    <t>30.01.061</t>
  </si>
  <si>
    <t>Barra de apoio lateral para lavatório, para pessoas com mobilidade reduzida, em tubo de aço inoxidável de 1.1/4", comprimento 25 a 30 cm</t>
  </si>
  <si>
    <t>30.01.050</t>
  </si>
  <si>
    <t>Barra de apoio em ângulo de 90°, para pessoas com mobilidade reduzida, em tubo de aço inoxidável de 1 1/2´ x 800 x 800 mm</t>
  </si>
  <si>
    <t>REDE DE AR COMPRIMIDO</t>
  </si>
  <si>
    <t>61.15.090</t>
  </si>
  <si>
    <t>Válvula esfera motorizada de duas vias de atuador proporcional diâmetro 2" a 2-1/2"</t>
  </si>
  <si>
    <t>44.20.310</t>
  </si>
  <si>
    <t>Filtro de pressão em ABS, para 360 l/h</t>
  </si>
  <si>
    <t xml:space="preserve">INSTALAÇÕES ELÉTRICAS </t>
  </si>
  <si>
    <t xml:space="preserve">ENTRADA </t>
  </si>
  <si>
    <t>37.17.090</t>
  </si>
  <si>
    <t>37.24.032</t>
  </si>
  <si>
    <t>Supressor de surto monofásico, Fase-Terra, In &gt; ou = 20 kA, Imax. de surto de 50 até 80 Ka ( Para raio tipo VCL)</t>
  </si>
  <si>
    <t xml:space="preserve">LÓGICA E TELEFONIA </t>
  </si>
  <si>
    <t>66.08.100</t>
  </si>
  <si>
    <t>Rack fechado padrão metálico, 19 x 12 Us x 470 mm</t>
  </si>
  <si>
    <t>66.20.225</t>
  </si>
  <si>
    <t>Switch Gigabit 24 portas com capacidade de 10/100/1000/Mbps</t>
  </si>
  <si>
    <t>69.09.300</t>
  </si>
  <si>
    <t>Voice panel de 50 portas - categoria 3</t>
  </si>
  <si>
    <t>69.20.340</t>
  </si>
  <si>
    <t>Tomada para TV, tipo pino Jack, com placa</t>
  </si>
  <si>
    <t>caixa enterrada para instalacoes telefonicas tipo r1 0,60x0,35x0,50m em blocos de concreto estrutural</t>
  </si>
  <si>
    <t>tomada de rede rj45 - fornecimento e instalação. af_03/2018</t>
  </si>
  <si>
    <t>tomada para telefone rj11 - fornecimento e instalação. af_03/2018</t>
  </si>
  <si>
    <t>piso cimentado, traço 1:3 (cimento e areia), acabamento liso, espessura 3,0 cm, preparo mecânico da argamassa. af_06/2018</t>
  </si>
  <si>
    <t>54.06.040</t>
  </si>
  <si>
    <t>Guia pré-moldada reta tipo PMSP 100 - fck 25 Mpa</t>
  </si>
  <si>
    <t>emboço, para recebimento de cerâmica, em argamassa traço 1:2:8, preparo mecânico com betoneira 400l, aplicado manualmente em faces internas de paredes, para ambiente com área menor que 5m2, espessura de 10mm, com execução de taliscas. af_06/2014</t>
  </si>
  <si>
    <t>massa única, para recebimento de pintura, em argamassa traço 1:2:8, preparo mecânico com betoneira 400l, aplicada manualmente em faces internas de paredes, espessura de 10mm, com execução de taliscas. af_06/2014</t>
  </si>
  <si>
    <t>aplicação de fundo selador acrílico em paredes, uma demão. af_06/2014</t>
  </si>
  <si>
    <t>aplicação manual de massa acrílica em paredes de casas, duas demãos. af_05/2017</t>
  </si>
  <si>
    <t>aplicação manual de pintura com tinta látex acrílica em paredes, duas demãos.af_06/2014</t>
  </si>
  <si>
    <t>rufo em chapa de aço galvanizado número 24, corte de 25 cm, incluso transporte vertical. af_06/2016</t>
  </si>
  <si>
    <t>TETO</t>
  </si>
  <si>
    <t>chapisco aplicado no teto, com rolo para textura acrílica. argamassa traço 1:4 e emulsão polimérica (adesivo) com preparo em betoneira 400l. af_06/2014</t>
  </si>
  <si>
    <t>massa única, para recebimento de pintura, em argamassa traço 1:2:8, preparo mecânico com betoneira 400l, aplicada manualmente em teto, espessura de 10mm, com execução de taliscas. af_03/2015</t>
  </si>
  <si>
    <t>aplicação de fundo selador acrílico em teto, uma demão. af_06/2014</t>
  </si>
  <si>
    <t>aplicação e lixamento de massa látex em teto, uma demão. af_06/2014</t>
  </si>
  <si>
    <t>aplicação manual de pintura com tinta látex acrílica em teto, duas demãos.af_06/2014</t>
  </si>
  <si>
    <t>forro em placas de gesso, para ambientes residenciais. af_05/2017_p</t>
  </si>
  <si>
    <t>50.10.110</t>
  </si>
  <si>
    <t>Extintor manual de pó químico seco ABC - capacidade de 4 kg</t>
  </si>
  <si>
    <t>97.02.193</t>
  </si>
  <si>
    <t>Placa de sinalização em PVC fotoluminescente (200x200mm), com indicação de equipamentos de alarme, detecção e extinção de incêndio</t>
  </si>
  <si>
    <t>97.02.195</t>
  </si>
  <si>
    <t>Placa de sinalização em PVC fotoluminescente, com indicação de rota de evacuação e saída de Emergência</t>
  </si>
  <si>
    <t>COMUNICAÇÃO VISUAL E DIVERSOS</t>
  </si>
  <si>
    <t>97.02.036</t>
  </si>
  <si>
    <t>Placa de identificação em PVC com texto em vinil</t>
  </si>
  <si>
    <t>35.04.020</t>
  </si>
  <si>
    <t>Banco contínuo em concreto vazado</t>
  </si>
  <si>
    <t>4.1</t>
  </si>
  <si>
    <t xml:space="preserve">COBERTURA </t>
  </si>
  <si>
    <t>5.1</t>
  </si>
  <si>
    <t>5.2</t>
  </si>
  <si>
    <t>5.3</t>
  </si>
  <si>
    <t>5.4</t>
  </si>
  <si>
    <t>11.18.040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</si>
  <si>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</si>
  <si>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kit de porta de madeira para pintura, semi-oca (leve ou média), padrão médio, 90x210cm, espessura de 3,5cm, itens inclusos: dobradiças, montagem e instalação do batente, guarnição e fechadura com execução do furo - fornecimento e instalação. 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</si>
  <si>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</si>
  <si>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23.13.052</t>
  </si>
  <si>
    <t>Porta lisa de madeira, interna, resistente a umidade "PIM RU", para acabamento em pintura, tipo acessível, padrão dimensional médio/pesado, com ferragens, completo ‐ 90 x 210 cm</t>
  </si>
  <si>
    <t>Porta lisa de madeira, interna, resistente a umidade "PIM RU", para acabamento em pintura, de correr ou deslizante, tipo acessível, padrão dimensional pesado, com sistema deslizante e ferragens, completo ‐ 100 x 210 cm</t>
  </si>
  <si>
    <t>SIURB</t>
  </si>
  <si>
    <t>20-05-36</t>
  </si>
  <si>
    <t>GL</t>
  </si>
  <si>
    <t>SERVIÇOS TÉCNICOS PROFISSIONAIS PARA OBTENÇÃO DO AVCB JUNTO AO CORPO DE BOMBEIROS PARA EDIFICAÇÕES ATÉ 2000 M2</t>
  </si>
  <si>
    <t>ESQUADRIAS (PORTAS E JANELAS)</t>
  </si>
  <si>
    <t>6.1</t>
  </si>
  <si>
    <t>DRENAGEM</t>
  </si>
  <si>
    <t>6.2</t>
  </si>
  <si>
    <t>6.2.1</t>
  </si>
  <si>
    <t>6.2.2</t>
  </si>
  <si>
    <t>6.3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</si>
  <si>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</si>
  <si>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</si>
  <si>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</si>
  <si>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</si>
  <si>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</si>
  <si>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</si>
  <si>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</si>
  <si>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</si>
  <si>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</si>
  <si>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</si>
  <si>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</si>
  <si>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</si>
  <si>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6.4</t>
  </si>
  <si>
    <t>6.4.1</t>
  </si>
  <si>
    <t>6.4.2</t>
  </si>
  <si>
    <t>6.5</t>
  </si>
  <si>
    <t>ALVENARIA DE FECHAMENTO E ALVENARIA DE VEDAÇÃO</t>
  </si>
  <si>
    <t>Grelha em ferro fundido para caixas e canaletas</t>
  </si>
  <si>
    <t>49.06.020</t>
  </si>
  <si>
    <t>DISTRIBUIÇÃO</t>
  </si>
  <si>
    <t>44.06.400</t>
  </si>
  <si>
    <t>CABO DE COBRE FLEXÍVEL ISOLADO, 25 MM², ANTI-CHAMA 0,6/1,0 KV, PARA REDE ENTERRADA DE DISTRIBUIÇÃO DE ENERGIA ELÉTRICA - FORNECIMENTO E INSTALAÇÃO. AF_12/2021</t>
  </si>
  <si>
    <t>CABO DE COBRE FLEXÍVEL ISOLADO, 50 MM², ANTI-CHAMA 0,6/1,0 KV, PARA REDE ENTERRADA DE DISTRIBUIÇÃO DE ENERGIA ELÉTRICA - FORNECIMENTO E INSTALAÇÃO. AF_12/2021</t>
  </si>
  <si>
    <t xml:space="preserve">cabo de cobre flexível isolado, 1,5 mm², anti-chama 450/750 v, para circuitos terminais - fornecimento e instalação. </t>
  </si>
  <si>
    <t xml:space="preserve">cabo de cobre flexível isolado, 2,5 mm², anti-chama 450/750 v, para circuitos terminais - fornecimento e instalação. </t>
  </si>
  <si>
    <t xml:space="preserve">cabo de cobre flexível isolado, 4 mm²,anti-chama 450/750 v , para circuitos terminais - fornecimento e instalação. </t>
  </si>
  <si>
    <t xml:space="preserve">cabo de cobre flexível isolado, 6 mm², anti-chama 450/750 v, para circuitos terminais - fornecimento e instalação. 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</si>
  <si>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</si>
  <si>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COMPOSIÇÃO PARAMÉTRICA DE PONTO ELÉTRICO DE ILUMINAÇÃO, COM INTERRUPTOR PARALELO, EM EDIFÍCIO RESIDENCIAL COM ELETRODUTO EMBUTIDO EM RASGOS NAS PAREDES, INCLUSO CAIXA ELÉTRICA, MÓDULO DE TOMADA, ELETRODUTO, CABO, RASGO, QUEBRA E CHUMBAMENTO (SEM LUMINÁRIA E LÂMPADA). AF_11/2022</t>
  </si>
  <si>
    <t>LUMINÁRIA TIPO PLAFON CIRCULAR, DE SOBREPOR, COM LED DE 12/13 W - FORNECIMENTO E INSTALAÇÃO. AF_03/2022</t>
  </si>
  <si>
    <t>LUMINÁRIA ARANDELA TIPO TARTARUGA, DE SOBREPOR, COM 1 LÂMPADA LED DE 6W, SEM REATOR - FORNECIMENTO E INSTALAÇÃO. AF_02/2020</t>
  </si>
  <si>
    <t>RELÉ FOTOELÉTRICO PARA COMANDO DE ILUMINAÇÃO EXTERNA 1000 W - FORNECIMENTO E INSTALAÇÃO. AF_08/2020</t>
  </si>
  <si>
    <t>LUMINÁRIA DE EMERGÊNCIA, COM 30 LÂMPADAS LED DE 2 W, SEM REATOR - FORNECIMENTO E INSTALAÇÃO. AF_02/2020</t>
  </si>
  <si>
    <t>41.14.390</t>
  </si>
  <si>
    <t>Dispositivo diferencial residual de 63 A x 30 mA ‐ 4 polos</t>
  </si>
  <si>
    <t>soleira em granito, largura 15 cm, espessura 2,0 cm.</t>
  </si>
  <si>
    <t>Piso em granilite moldado no local</t>
  </si>
  <si>
    <t>17.10.020</t>
  </si>
  <si>
    <t>Revestimento em porcelanato esmaltado acetinado para área interna e ambiente com acesso ao exterior, grupo de absorção BIa, resistência química B, assentado com argamassa colante industrializada, rejuntado</t>
  </si>
  <si>
    <t>18.08.090</t>
  </si>
  <si>
    <t>Rodapé qualquer em granilite moldado no local até 10 cm</t>
  </si>
  <si>
    <t>17.10.200</t>
  </si>
  <si>
    <t>PLANTIO DE GRAMA ESMERALDA OU SÃO CARLOS OU CURITIBANA, EM PLACAS.</t>
  </si>
  <si>
    <t>PISO INTERNO</t>
  </si>
  <si>
    <t>PISO EXTERNO</t>
  </si>
  <si>
    <t>PAREDE INTERNA</t>
  </si>
  <si>
    <t>PAREDE EXTERNA</t>
  </si>
  <si>
    <t>TOMADA</t>
  </si>
  <si>
    <t>Folha de porta lisa folheada com madeira, sob medida</t>
  </si>
  <si>
    <t>BATENTE/PORTAL/ADUELA/MARCO, EM MDF/PVC WOOD/POLIESTIRENO OU MADEIRA LAMINADA, L = *9,0* CM COM GUARNICAO REGULAVEL 2 FACES = *35* MM, PRIMER</t>
  </si>
  <si>
    <t>JG</t>
  </si>
  <si>
    <t>TRILHO PANTOGRAFICO RETO, EM ALUMINIO, TIPO U, COM DIMENSOES DE *38 X 38* MM PARA PORTA DE CORRER</t>
  </si>
  <si>
    <t>FECHADRUA BICO DE PAPAGAIO PARA PORTA DE CORRER INTERNA, EM ACO INOX COM ACABAMENTO CROMADO, MAQUINA COM 45 MM, INCLUINDO CHAVE TIPO BIPARTIDA</t>
  </si>
  <si>
    <t>CJ</t>
  </si>
  <si>
    <t>25.02.010</t>
  </si>
  <si>
    <t>Porta de entrada de abrir em alumínio com vidro, linha comercial</t>
  </si>
  <si>
    <t>BATENTE / PORTAL / ADUELA / MARCO EM MADEIRA MACICA COM REBAIXO, E = *3* CM, L *14* CM, PARA PORTAS DE GIRO DE *60 CM A 120* CM X *210* CM, CEDRINHO / ANGELIM COMERCIAL / TAURI / CURUPIXA / PEROBA / CUMARU OU EQUIVALENTE DA REGIAO (NÃO INCLUI ALIZARES)</t>
  </si>
  <si>
    <t xml:space="preserve">Dobradiça inferior para porta de vidro temperado </t>
  </si>
  <si>
    <t xml:space="preserve">Dobradiça superior para porta de vidro temperado </t>
  </si>
  <si>
    <t>Fechadura de centro com cilindro para porta em vidro temperado</t>
  </si>
  <si>
    <t>Trinco de piso para porta em vidro temperado</t>
  </si>
  <si>
    <t>JANELA DE ALUMÍNIO TIPO MAXIM-AR, COM VIDROS, BATENTE E FERRAGENS. EXCLUSIVE ALIZAR, ACABAMENTO E CONTRAMARCO. FORNECIMENTO E INSTALAÇÃO. AF_12/2019</t>
  </si>
  <si>
    <t>JANELA DE ALUMÍNIO DE CORRER COM 4 FOLHAS PARA VIDROS, COM VIDROS, BATENTE, ACABAMENTO COM ACETATO OU BRILHANTE E FERRAGENS. EXCLUSIVE ALIZAR E CONTRAMARCO. FORNECIMENTO E INSTALAÇÃO. AF_12/2019</t>
  </si>
  <si>
    <t>JANELA FIXA DE ALUMÍNIO PARA VIDRO, COM VIDRO, BATENTE E FERRAGENS. EXCLUSIVE ACABAMENTO, ALIZAR E CONTRAMARCO. FORNECIMENTO E INSTALAÇÃO. AF_12/2019</t>
  </si>
  <si>
    <t>M²</t>
  </si>
  <si>
    <t>24.02.280</t>
  </si>
  <si>
    <t xml:space="preserve">tela de proteção tipo mosquiteira em aço galvanizado, com requadro em perfis de ferro </t>
  </si>
  <si>
    <t>Porta/portinhola em alumínio, sob medida</t>
  </si>
  <si>
    <t>25.02.060</t>
  </si>
  <si>
    <t>Limpeza final da obra</t>
  </si>
  <si>
    <t>55.01.020</t>
  </si>
  <si>
    <t>SPDA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</si>
  <si>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</si>
  <si>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Porta/portão de correr em tela ondulada de aço galvanizado, sob medida</t>
  </si>
  <si>
    <t>7.1.1</t>
  </si>
  <si>
    <t>7.2.1</t>
  </si>
  <si>
    <t>7.2.2</t>
  </si>
  <si>
    <t>7.2.3</t>
  </si>
  <si>
    <t>COMPOSIÇÃO PARAMÉTRICA DE PONTO ELÉTRICO DE TOMADA DE USO ESPECÍFICO 2P+T (20A/250V) EM EDIFÍCIO RESIDENCIAL COM ELETRODUTO EMBUTIDO EM RASGOS NAS PAREDES, INCLUSO TOMADA, ELETRODUTO, CABO, RASGO, QUEBRA E CHUMBAMENTO (EXCETO CHUVEIRO). AF_11/2022</t>
  </si>
  <si>
    <t>Luminária retangular de sobrepor tipo calha aberta, com refletor em alumínio de alto brilho, para 2 lâmpadas LED tubulares 32W/36 W</t>
  </si>
  <si>
    <t xml:space="preserve">ELETRODUTO FLEXÍVEL CORRUGADO, PVC, DN 32 MM (1"), PARA CIRCUITOS TERMINAIS, INSTALADO EM PAREDE - FORNECIMENTO E INSTALAÇÃO. AF_12/2015 </t>
  </si>
  <si>
    <t>ELETRODUTO FLEXÍVEL CORRUGADO, PEAD, DN 40 MM (1 1/4"), PARA CIRCUITOS TERMINAIS, INSTALADO EM LAJE - FORNECIMENTO E INSTALAÇÃO. AF_12/2015</t>
  </si>
  <si>
    <t>41.10.430</t>
  </si>
  <si>
    <t>Suporte tubular de fixação em poste para 1 luminária tipo pétala</t>
  </si>
  <si>
    <t>41.11.440</t>
  </si>
  <si>
    <t>REVESTIMENTO CERÂMICO PARA PAREDES INTERNAS COM PLACAS TIPO ESMALTADA EXTRA DE DIMENSÕES 60X60 CM APLICADAS NA ALTURA INTEIRA DAS PAREDES. AF_02/2023_PE</t>
  </si>
  <si>
    <t>EMBOÇO OU MASSA ÚNICA EM ARGAMASSA TRAÇO 1:2:8, PREPARO MECÂNICO COM BETONEIRA 400 L, APLICADA MANUALMENTE EM PANOS DE FACHADA COM PRESENÇA DE VÃOS, ESPESSURA DE 25 MM. AF_08/2022</t>
  </si>
  <si>
    <t>Guarda‐corpo tubular com tela em aço galvanizado, diâmetro de 1 1/2´</t>
  </si>
  <si>
    <t>24.03.040</t>
  </si>
  <si>
    <t>Corrimão tubular em aço galvanizado, diâmetro 1 1/2´</t>
  </si>
  <si>
    <t>24.03.310</t>
  </si>
  <si>
    <t>QUADRO DE DISTRIBUIÇÃO DE ENERGIA EM CHAPA DE AÇO GALVANIZADO, DE EMBUTIR, COM BARRAMENTO TRIFÁSICO, PARA 30 DISJUNTORES DIN 150A - FORNECIMENTO E INSTALAÇÃO. AF_10/2020</t>
  </si>
  <si>
    <t>DISJUNTOR TERMOMAGNÉTICO TRIPOLAR , CORRENTE NOMINAL DE 125A - FORNECIMENTO E INSTALAÇÃO. AF_10/2020</t>
  </si>
  <si>
    <t>DISJUNTOR TERMOMAGNÉTICO TRIPOLAR , CORRENTE NOMINAL DE 200A - FORNECIMENTO E INSTALAÇÃO. AF_10/2020</t>
  </si>
  <si>
    <t>DISJUNTOR BIPOLAR TIPO DIN, CORRENTE NOMINAL DE 10A - FORNECIMENTO E INSTALAÇÃO. AF_10/2020</t>
  </si>
  <si>
    <t>DISJUNTOR BIPOLAR TIPO DIN, CORRENTE NOMINAL DE 16A - FORNECIMENTO E INSTALAÇÃO. AF_10/2020</t>
  </si>
  <si>
    <t>DISJUNTOR BIPOLAR TIPO DIN, CORRENTE NOMINAL DE 20A FORNECIMENTO E INSTALAÇÃO. AF_10/2020</t>
  </si>
  <si>
    <t>DISJUNTOR BIPOLAR TIPO DIN, CORRENTE NOMINAL DE 50A - FORNECIMENTO E INSTALAÇÃO. AF_10/2020</t>
  </si>
  <si>
    <t>QUADRO DE DISTRIBUICAO PARA TELEFONE N.3, 40X40X12CM EM CHAPA METALICA, DE EMBUTIR, SEM ACESSORIOS, PADRAO TELEBRAS, FORNECIMENTO E INSTALAÇÃO. AF_11/2019</t>
  </si>
  <si>
    <t>Poste telecônico reto em aço SAE 1010/1020 galvanizado a fogo, altura de 6,00 m</t>
  </si>
  <si>
    <t>39.18.120</t>
  </si>
  <si>
    <t>Cabo para rede U/UTP 23 AWG com 4 pares ‐ categoria 6A</t>
  </si>
  <si>
    <t>Cabo telefônico CI, com 20 pares de 0,50 mm, para centrais telefônicas, equipamentos e rede interna</t>
  </si>
  <si>
    <t>39.11.040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</si>
  <si>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</si>
  <si>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</si>
  <si>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</si>
  <si>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</si>
  <si>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</si>
  <si>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</si>
  <si>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</si>
  <si>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</si>
  <si>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00000393</t>
  </si>
  <si>
    <t>ABRACADEIRA EM ACO PARA AMARRACAO DE ELETRODUTOS, TIPO D, COM 1" E PARAFUSO DE FIXACAO</t>
  </si>
  <si>
    <t>42.05.250</t>
  </si>
  <si>
    <t>Barra condutora chata em alumínio de 3/4´ x 1/4´, inclusive acessórios
de fixaçã</t>
  </si>
  <si>
    <t>00038124</t>
  </si>
  <si>
    <t>4 ESPUMA EXPANSIVA DE POLIURETANO, APLICACAO MANUAL - 500 ML</t>
  </si>
  <si>
    <t>UN</t>
  </si>
  <si>
    <t>00007583</t>
  </si>
  <si>
    <t>BUCHA DE NYLON SEM ABA S8, COM PARAFUSO DE 4,80 X 50 MM EM ACO ZINCADO COM ROSCA SOBERBA, CABECA CHATA E FENDA PHILLIPS</t>
  </si>
  <si>
    <t>CR</t>
  </si>
  <si>
    <t>867</t>
  </si>
  <si>
    <t>CABO DE COBRE NU 50 MM2 MEIO-DURO</t>
  </si>
  <si>
    <t xml:space="preserve">00034641 </t>
  </si>
  <si>
    <t>CAIXA DE ATERRAMENTO EM CONCRETO PRE-MOLDADO, DIAMETRO DE 0,30 M E ALTURA DE 0,35 M, SEM FUNDO E COM TAMPA</t>
  </si>
  <si>
    <t>00002560</t>
  </si>
  <si>
    <t>CONDULETE DE ALUMINIO TIPO C, PARA ELETRODUTO ROSCAVEL DE 1", COM TAMPA CEGA</t>
  </si>
  <si>
    <t>39.09.060</t>
  </si>
  <si>
    <t>Conector split‐bolt para cabo de 50 mm², latão, simples</t>
  </si>
  <si>
    <t>00039273</t>
  </si>
  <si>
    <t>CURVA 90 GRAUS, CURTA, DE PVC RIGIDO ROSCAVEL, DE 1", PARA ELETRODUTO</t>
  </si>
  <si>
    <t>00039255</t>
  </si>
  <si>
    <t>ELETRODUTO/CONDULETE DE PVC RIGIDO, LISO, COR CINZA, DE 1", PARA INSTALACOES APARENTES (NBR 5410)</t>
  </si>
  <si>
    <t>00003380</t>
  </si>
  <si>
    <t>HASTE DE ATERRAMENTO EM ACO COM 3,00 M DE COMPRIMENTO E DN = 5/8", REVESTIDA COM BAIXA CAMADA DE COBRE, COM CONECTOR TIPO GRAMPO</t>
  </si>
  <si>
    <t>42.05.120</t>
  </si>
  <si>
    <t>Conector de emenda em latão para cabo de até 50 mm² com 4
parafuso</t>
  </si>
  <si>
    <t>00011962</t>
  </si>
  <si>
    <t xml:space="preserve">PARAFUSO ZINCADO, SEXTAVADO, COM ROSCA INTEIRA, DIAMETRO 1/4", COMPRIMENTO 1/2" </t>
  </si>
  <si>
    <t>00004379</t>
  </si>
  <si>
    <t>PARAFUSO DE ACO ZINCADO COM ROSCA SOBERBA, CABECA CHATA E FENDA SIMPLES DIAMETRO 2,5 MM, COMPRIMENTO * 9,5 * MM</t>
  </si>
  <si>
    <t>00039997</t>
  </si>
  <si>
    <t>PORCA ZINCADA, SEXTAVADA, DIAMETRO 1/4"</t>
  </si>
  <si>
    <t>00001578</t>
  </si>
  <si>
    <t>TERMINAL A COMPRESSAO EM COBRE ESTANHADO PARA CABO 50 MM2, 1 FURO E 1 COMPRESSAO, PARA PARAFUSO DE FIXACAO M8</t>
  </si>
  <si>
    <t>8.1</t>
  </si>
  <si>
    <t>7.2</t>
  </si>
  <si>
    <t>Tampo/bancada em granito, com frontão, espessura de 2 cm, acabamento polido</t>
  </si>
  <si>
    <t>44.02.062</t>
  </si>
  <si>
    <t>TUBO EM COBRE RÍGIDO, DN 22 MM, CLASSE E, SEM ISOLAMENTO, INSTALADO EM PRUMADA DE HIDRÁULICA PREDIAL - FORNECIMENTO E INSTALAÇÃO. AF_04/2022</t>
  </si>
  <si>
    <t>Peitoril e/ou soleira em granito, espessura de 2 cm e largura até 20 cm, acabamento polido</t>
  </si>
  <si>
    <t>19.01.062</t>
  </si>
  <si>
    <t>6.2.4</t>
  </si>
  <si>
    <t>6.5.1</t>
  </si>
  <si>
    <t>6.5.2</t>
  </si>
  <si>
    <t>6.5.3</t>
  </si>
  <si>
    <t>7.1</t>
  </si>
  <si>
    <t>7.3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</si>
  <si>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</si>
  <si>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</si>
  <si>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</si>
  <si>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</si>
  <si>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</si>
  <si>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</si>
  <si>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</si>
  <si>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</si>
  <si>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</t>
  </si>
  <si>
    <t>7.4.1</t>
  </si>
  <si>
    <t>7.4.2</t>
  </si>
  <si>
    <t>7.5</t>
  </si>
  <si>
    <t>7.5.1</t>
  </si>
  <si>
    <t>7.5.2</t>
  </si>
  <si>
    <t>7.5.3</t>
  </si>
  <si>
    <t>8.1.1</t>
  </si>
  <si>
    <t>8.1.2</t>
  </si>
  <si>
    <t>8.1.3</t>
  </si>
  <si>
    <t>8.1.4</t>
  </si>
  <si>
    <t>8.2</t>
  </si>
  <si>
    <t>8.2.1</t>
  </si>
  <si>
    <t>8.2.2</t>
  </si>
  <si>
    <t>8.2.3</t>
  </si>
  <si>
    <t>8.2.4</t>
  </si>
  <si>
    <t>8.2.5</t>
  </si>
  <si>
    <t>10.1</t>
  </si>
  <si>
    <t>10.2</t>
  </si>
  <si>
    <t>PINTURA TINTA DE ACABAMENTO (PIGMENTADA) ESMALTE SINTÉTICO ACETINADO EM MADEIRA, 1 DEMÃO. AF_01/2021</t>
  </si>
  <si>
    <t>Espelho em vidro cristal liso, espessura de 4 mm</t>
  </si>
  <si>
    <t>26.04.010</t>
  </si>
  <si>
    <t>Esmalte à base água em superfície metálica, inclusive preparo</t>
  </si>
  <si>
    <t>33.11.050</t>
  </si>
  <si>
    <t>PREVENÇÃO E COMBATE A INCÊNDIO</t>
  </si>
  <si>
    <t>PREVENÇÃO E COMBATE A INCÊNDIO E SPDA</t>
  </si>
  <si>
    <t>Torneira de mesa para lavatório, acionamento hidromecânico com
alavanca, registro integrado regulador de vazão, em latão cromado,
DN= 1/2´</t>
  </si>
  <si>
    <t>44.03.720</t>
  </si>
  <si>
    <t>CABO DE COBRE FLEXÍVEL ISOLADO, 70 MM², ANTI-CHAMA 0,6/1,0 KV, PARA REDE ENTERRADA DE DISTRIBUIÇÃO DE ENERGIA ELÉTRICA - FORNECIMENTO E INSTALAÇÃO. AF_12/2021</t>
  </si>
  <si>
    <t>Válvula de descarga externa, tipo alavanca com registro próprio, DN=1 1/4´ e DN= 1 1/2´</t>
  </si>
  <si>
    <t>47.04.080</t>
  </si>
  <si>
    <t>5.5</t>
  </si>
  <si>
    <t>29.01.020</t>
  </si>
  <si>
    <t>Preparo de base para superfície metálica com fundo antioxidante</t>
  </si>
  <si>
    <t>33.01.350</t>
  </si>
  <si>
    <t>ESQUADRIA E CALHAS/RUFOS</t>
  </si>
  <si>
    <t>Armadura em tela soldada de aço</t>
  </si>
  <si>
    <t>kg</t>
  </si>
  <si>
    <t>10.02.020</t>
  </si>
  <si>
    <t>Eletroduto corrugado em polietileno de alta densidade, DN= 50 mm, com acessórios</t>
  </si>
  <si>
    <t>38.13.020</t>
  </si>
  <si>
    <t>Caixa de passagem em chapa, com tampa parafusada, 300 x 300 x 120
mm</t>
  </si>
  <si>
    <t>40.02.080</t>
  </si>
  <si>
    <t>Caixa de passagem para condicionamento de ar tipo Split, com saída
de dreno único na vertical ‐ 39 x 22 x 6 cm</t>
  </si>
  <si>
    <t>43.20.130</t>
  </si>
  <si>
    <t>3.4</t>
  </si>
  <si>
    <t xml:space="preserve">SINAPI  </t>
  </si>
  <si>
    <t>ALAMBRADO EM MOURÕES DE CONCRETO, COM TELA DE ARAME GALVANIZADO (INCLUSIVE MURETA EM CONCRETO). AF_05/2018</t>
  </si>
  <si>
    <t>8.2.6</t>
  </si>
  <si>
    <t>8.2.7</t>
  </si>
  <si>
    <t>8.2.8</t>
  </si>
  <si>
    <t>11.20.050</t>
  </si>
  <si>
    <t>Corte de junta de dilatação, com serra de disco diamantado para pisos</t>
  </si>
  <si>
    <t>brita (5 cm)</t>
  </si>
  <si>
    <t>11.18.060</t>
  </si>
  <si>
    <t>Lona</t>
  </si>
  <si>
    <t>8.2.9</t>
  </si>
  <si>
    <t>Regularização e compactação mecanizada de superfície, sem controle
do proctor normal</t>
  </si>
  <si>
    <t>54.01.010</t>
  </si>
  <si>
    <t>3.5</t>
  </si>
  <si>
    <t>PAREDE COM PLACAS DE GESSO ACARTONADO (DRYWALL), PARA USO INTERNO, COM DUAS FACES DUPLAS E ESTRUTURA METÁLICA COM GUIAS SIMPLES, COM VÃOS. AF_06/2017_PS</t>
  </si>
  <si>
    <t>Cantoneira em alumínio perfil sextavado (friso)</t>
  </si>
  <si>
    <t>Projetor LED retangular, potência de 30 W, fluxo luminoso de 2250 a
2400 lm, temperatura cor 6.500 K, bivolt</t>
  </si>
  <si>
    <t>41.31.101</t>
  </si>
  <si>
    <t>Poste telecônico reto em aço SAE 1010/1020 galvanizado a fogo,altura de 4,00 m</t>
  </si>
  <si>
    <t>41.10.500</t>
  </si>
  <si>
    <t>EXECUÇÃO DE PISO DE CONCRETO COM CONCRETO MOLDADO IN LOCO, FEITO EM OBRA, ACABAMENTO CONVENCIONAL, ESPESSURA 8 CM, ARMADO. AF_08/2022 (ESTACIONAMENTO DE VEÍCULOS E PASSEIO)</t>
  </si>
  <si>
    <t>REBAIXAMENTO DE GUIA</t>
  </si>
  <si>
    <t>17.02.54</t>
  </si>
  <si>
    <t>Piso com requadro em concreto simples com controle de fck= 25 Mpa</t>
  </si>
  <si>
    <t>17.05.100</t>
  </si>
  <si>
    <t>8.2.10</t>
  </si>
  <si>
    <t>8.2.11</t>
  </si>
  <si>
    <t>8.2.12</t>
  </si>
  <si>
    <t>11.16.220</t>
  </si>
  <si>
    <t>Nivelamento de piso em concreto com acabadora de superfície</t>
  </si>
  <si>
    <t>16.48.015</t>
  </si>
  <si>
    <t>Sem Desoneração Fonte:</t>
  </si>
  <si>
    <t>APLICACAO PINTURA IMPERM DUAS DEMAOS, EPOXI POLIURETANO (altura 2,10)</t>
  </si>
  <si>
    <t>TUBO DE CONCRETO PARA REDES COLETORAS DE ÁGUAS PLUVIAIS, DIÂMETRO DE 400 MM, JUNTA RÍGIDA, INSTALADO EM LOCAL COM BAIXO NÍVEL DE INTERFERÊNCIAS - FORNECIMENTO E ASSENTAMENTO. AF_12/2015</t>
  </si>
  <si>
    <t>AE-23 ABRIGO E ENTRADA DE ENERGIA (CAIXA M, T e IV) COM LEITURA VOLTADAPARA CALÇADA - CPFL, EDP BANDEIRANTE E ELEKTRO</t>
  </si>
  <si>
    <t>09.02.053</t>
  </si>
  <si>
    <t>5° MÊS</t>
  </si>
  <si>
    <t>6° MÊS</t>
  </si>
  <si>
    <t>Eng. Civil Daniel Rossi</t>
  </si>
  <si>
    <t>REVESTIMENTOS</t>
  </si>
  <si>
    <t>Luminária LED retangular para poste, fluxo luminoso de 27624 lm,
eficiência mínima 135 lm/W ‐ potência de 204 W</t>
  </si>
  <si>
    <t>41.11.707</t>
  </si>
  <si>
    <t xml:space="preserve">                                                                                                </t>
  </si>
  <si>
    <t>23.13.064</t>
  </si>
  <si>
    <t>7.6</t>
  </si>
  <si>
    <t>FDE 01/2024</t>
  </si>
  <si>
    <t>CDHU 196</t>
  </si>
  <si>
    <t>SINAPI - SETEMBRO 2024</t>
  </si>
  <si>
    <t>SIURB 07/2024</t>
  </si>
  <si>
    <t xml:space="preserve">Saldo contratual da DJR </t>
  </si>
  <si>
    <t>Novo valor para saldo</t>
  </si>
  <si>
    <t>Novo prazo para conclusão (obra)</t>
  </si>
  <si>
    <t>6 meses</t>
  </si>
  <si>
    <t>1.1</t>
  </si>
  <si>
    <t>2.1</t>
  </si>
  <si>
    <t>2.2</t>
  </si>
  <si>
    <t>3.1</t>
  </si>
  <si>
    <t>3.2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</si>
  <si>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</si>
  <si>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</si>
  <si>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</si>
  <si>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</si>
  <si>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</si>
  <si>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</si>
  <si>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</si>
  <si>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</si>
  <si>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</si>
  <si>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</si>
  <si>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</si>
  <si>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</si>
  <si>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</si>
  <si>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</si>
  <si>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</si>
  <si>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</si>
  <si>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</si>
  <si>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</si>
  <si>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5.1.1</t>
  </si>
  <si>
    <t>5.1.2</t>
  </si>
  <si>
    <t>5.2.1</t>
  </si>
  <si>
    <t>5.2.2</t>
  </si>
  <si>
    <t>5.2.3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</si>
  <si>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</si>
  <si>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</si>
  <si>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</si>
  <si>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</si>
  <si>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</si>
  <si>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</si>
  <si>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</si>
  <si>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</si>
  <si>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</si>
  <si>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</si>
  <si>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</si>
  <si>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</si>
  <si>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</si>
  <si>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</si>
  <si>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</si>
  <si>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</si>
  <si>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</si>
  <si>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</si>
  <si>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</si>
  <si>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</si>
  <si>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</si>
  <si>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</si>
  <si>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</si>
  <si>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</si>
  <si>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</si>
  <si>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</si>
  <si>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5.5.1</t>
  </si>
  <si>
    <t>5.5.2</t>
  </si>
  <si>
    <t>5.5.3</t>
  </si>
  <si>
    <t>6.1.1</t>
  </si>
  <si>
    <t>6.2.3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</si>
  <si>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</si>
  <si>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</si>
  <si>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</si>
  <si>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</si>
  <si>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</si>
  <si>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</si>
  <si>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</si>
  <si>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</si>
  <si>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</si>
  <si>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</si>
  <si>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</si>
  <si>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6.2.16</t>
  </si>
  <si>
    <t>6.2.17</t>
  </si>
  <si>
    <t>6.2.18</t>
  </si>
  <si>
    <t>6.2.19</t>
  </si>
  <si>
    <t>6.2.20</t>
  </si>
  <si>
    <t>6.2.21</t>
  </si>
  <si>
    <t>6.2.22</t>
  </si>
  <si>
    <t>6.5.4</t>
  </si>
  <si>
    <t>6.5.5</t>
  </si>
  <si>
    <t>6.5.6</t>
  </si>
  <si>
    <t>6.5.7</t>
  </si>
  <si>
    <t>6.5.8</t>
  </si>
  <si>
    <t>6.5.9</t>
  </si>
  <si>
    <t>6.5.10</t>
  </si>
  <si>
    <t>7.1.2</t>
  </si>
  <si>
    <t>7.1.3</t>
  </si>
  <si>
    <t>7.1.4</t>
  </si>
  <si>
    <t>7.1.5</t>
  </si>
  <si>
    <t>7.2.12</t>
  </si>
  <si>
    <t>7.4.3</t>
  </si>
  <si>
    <t>7.4.4</t>
  </si>
  <si>
    <t>7.4.5</t>
  </si>
  <si>
    <t>7.6.1</t>
  </si>
  <si>
    <t>7.6.2</t>
  </si>
  <si>
    <t>7.6.3</t>
  </si>
  <si>
    <t>7.6.4</t>
  </si>
  <si>
    <t>7.6.5</t>
  </si>
  <si>
    <t>7.6.6</t>
  </si>
  <si>
    <t>8.2.13</t>
  </si>
  <si>
    <t>8.2.14</t>
  </si>
  <si>
    <t>8.2.15</t>
  </si>
  <si>
    <t>8.2.16</t>
  </si>
  <si>
    <t>9.1</t>
  </si>
  <si>
    <t>9.2</t>
  </si>
  <si>
    <t>Os itens 5.2.1/ 5.3.12/ 7.3.6 não foram acrescidos o BDI, devido já ser incluso o BDI de 23% na fonte planilha orçamentaria do FDE.</t>
  </si>
  <si>
    <t xml:space="preserve">Eng. Marcos Tiago Balbino </t>
  </si>
  <si>
    <t>Eng. Stefanie C. N. Brunetto Ferrari</t>
  </si>
  <si>
    <t>CONCLUSÃO DA REFORMA E CONSTRUÇÃO (AMPLIAÇÃO) DA UBS YPÊ AMARELO</t>
  </si>
  <si>
    <t xml:space="preserve">05 de fevereiro de 2025, Mogi Guaçu/SP </t>
  </si>
  <si>
    <t>Mogi Guaçu, fevereiro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</si>
</sst>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&quot;-&quot;??_);_(@_)"/>
    <numFmt numFmtId="166" formatCode="[$-F800]dddd\,\ mmmm\ dd\,\ yyyy"/>
    <numFmt numFmtId="167" formatCode="0######&quot;-&quot;##&quot;/&quot;####"/>
    <numFmt numFmtId="168" formatCode="&quot;( &quot;0&quot; )&quot;"/>
    <numFmt numFmtId="169" formatCode="0.000%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10"/>
      <color indexed="8"/>
      <name val="Arial"/>
      <family val="2"/>
    </font>
    <font>
      <b/>
      <sz val="9.85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 style="medium">
        <color indexed="9"/>
      </bottom>
      <diagonal/>
    </border>
    <border>
      <left style="medium">
        <color indexed="9"/>
      </left>
      <right/>
      <top style="thin">
        <color indexed="64"/>
      </top>
      <bottom style="medium">
        <color indexed="9"/>
      </bottom>
      <diagonal/>
    </border>
    <border>
      <left/>
      <right/>
      <top style="thin">
        <color indexed="64"/>
      </top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/>
      <right style="medium">
        <color indexed="9"/>
      </right>
      <top style="thin">
        <color indexed="64"/>
      </top>
      <bottom style="medium">
        <color indexed="9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Protection="0">
      <alignment vertical="center"/>
    </xf>
    <xf numFmtId="0" fontId="7" fillId="0" borderId="0"/>
    <xf numFmtId="165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5">
    <xf numFmtId="0" fontId="0" fillId="0" borderId="0" xfId="0"/>
    <xf numFmtId="0" fontId="5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6" fillId="3" borderId="0" xfId="4" applyNumberFormat="1" applyFont="1" applyFill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0" fillId="0" borderId="0" xfId="0" applyAlignment="1">
      <alignment horizontal="center"/>
    </xf>
    <xf numFmtId="10" fontId="21" fillId="2" borderId="28" xfId="0" applyNumberFormat="1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Alignment="1">
      <alignment vertical="center"/>
    </xf>
    <xf numFmtId="0" fontId="17" fillId="0" borderId="4" xfId="0" applyFont="1" applyBorder="1" applyAlignment="1">
      <alignment horizontal="center" vertical="center"/>
    </xf>
    <xf numFmtId="10" fontId="17" fillId="0" borderId="4" xfId="0" applyNumberFormat="1" applyFont="1" applyBorder="1" applyAlignment="1">
      <alignment horizontal="center" vertical="center"/>
    </xf>
    <xf numFmtId="9" fontId="17" fillId="0" borderId="4" xfId="0" applyNumberFormat="1" applyFont="1" applyBorder="1"/>
    <xf numFmtId="0" fontId="17" fillId="0" borderId="4" xfId="0" applyFont="1" applyBorder="1"/>
    <xf numFmtId="44" fontId="17" fillId="0" borderId="4" xfId="0" applyNumberFormat="1" applyFont="1" applyBorder="1"/>
    <xf numFmtId="10" fontId="17" fillId="0" borderId="4" xfId="0" applyNumberFormat="1" applyFont="1" applyBorder="1" applyAlignment="1">
      <alignment horizontal="center"/>
    </xf>
    <xf numFmtId="44" fontId="17" fillId="0" borderId="4" xfId="0" applyNumberFormat="1" applyFont="1" applyBorder="1" applyAlignment="1">
      <alignment horizontal="center" vertical="center"/>
    </xf>
    <xf numFmtId="0" fontId="16" fillId="0" borderId="29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6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4" fontId="11" fillId="3" borderId="4" xfId="2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49" fontId="6" fillId="3" borderId="4" xfId="4" applyNumberFormat="1" applyFont="1" applyFill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2" fontId="11" fillId="3" borderId="4" xfId="2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11" fillId="3" borderId="4" xfId="2" applyNumberFormat="1" applyFont="1" applyFill="1" applyBorder="1" applyAlignment="1">
      <alignment horizontal="center" vertical="center" wrapText="1"/>
    </xf>
    <xf numFmtId="44" fontId="11" fillId="0" borderId="4" xfId="8" applyFont="1" applyBorder="1" applyAlignment="1">
      <alignment horizontal="center" vertical="center" wrapText="1"/>
    </xf>
    <xf numFmtId="44" fontId="11" fillId="3" borderId="4" xfId="8" applyFont="1" applyFill="1" applyBorder="1" applyAlignment="1">
      <alignment horizontal="center" vertical="center" wrapText="1"/>
    </xf>
    <xf numFmtId="44" fontId="6" fillId="3" borderId="4" xfId="8" applyFont="1" applyFill="1" applyBorder="1" applyAlignment="1">
      <alignment horizontal="center" vertical="center" wrapText="1"/>
    </xf>
    <xf numFmtId="44" fontId="6" fillId="3" borderId="0" xfId="8" applyFont="1" applyFill="1" applyBorder="1" applyAlignment="1" applyProtection="1">
      <alignment horizontal="center" vertical="center" wrapText="1"/>
    </xf>
    <xf numFmtId="44" fontId="0" fillId="0" borderId="0" xfId="8" applyFont="1"/>
    <xf numFmtId="44" fontId="0" fillId="0" borderId="0" xfId="8" applyFont="1" applyBorder="1"/>
    <xf numFmtId="44" fontId="3" fillId="2" borderId="4" xfId="8" applyFont="1" applyFill="1" applyBorder="1" applyAlignment="1">
      <alignment horizontal="center" vertical="center" wrapText="1"/>
    </xf>
    <xf numFmtId="44" fontId="3" fillId="0" borderId="4" xfId="8" applyFont="1" applyBorder="1" applyAlignment="1">
      <alignment horizontal="center" vertical="center" wrapText="1"/>
    </xf>
    <xf numFmtId="44" fontId="3" fillId="2" borderId="18" xfId="8" applyFont="1" applyFill="1" applyBorder="1" applyAlignment="1">
      <alignment horizontal="center" vertical="center" wrapText="1"/>
    </xf>
    <xf numFmtId="44" fontId="0" fillId="0" borderId="0" xfId="8" applyFont="1" applyAlignment="1">
      <alignment horizontal="center"/>
    </xf>
    <xf numFmtId="44" fontId="0" fillId="0" borderId="0" xfId="8" applyFont="1" applyBorder="1" applyAlignment="1">
      <alignment horizontal="center"/>
    </xf>
    <xf numFmtId="0" fontId="0" fillId="3" borderId="0" xfId="0" applyFill="1"/>
    <xf numFmtId="49" fontId="12" fillId="4" borderId="33" xfId="2" applyNumberFormat="1" applyFont="1" applyFill="1" applyBorder="1" applyAlignment="1">
      <alignment horizontal="center" vertical="center" wrapText="1"/>
    </xf>
    <xf numFmtId="0" fontId="12" fillId="4" borderId="24" xfId="2" applyFont="1" applyFill="1" applyBorder="1" applyAlignment="1">
      <alignment horizontal="center" vertical="center" wrapText="1"/>
    </xf>
    <xf numFmtId="4" fontId="12" fillId="4" borderId="24" xfId="1" applyNumberFormat="1" applyFont="1" applyFill="1" applyBorder="1" applyAlignment="1">
      <alignment horizontal="center" vertical="center" wrapText="1"/>
    </xf>
    <xf numFmtId="44" fontId="12" fillId="4" borderId="24" xfId="8" applyFont="1" applyFill="1" applyBorder="1" applyAlignment="1">
      <alignment horizontal="center" vertical="center" wrapText="1"/>
    </xf>
    <xf numFmtId="44" fontId="12" fillId="4" borderId="21" xfId="8" applyFont="1" applyFill="1" applyBorder="1" applyAlignment="1">
      <alignment horizontal="center" vertical="center" wrapText="1"/>
    </xf>
    <xf numFmtId="4" fontId="12" fillId="4" borderId="34" xfId="1" applyNumberFormat="1" applyFont="1" applyFill="1" applyBorder="1" applyAlignment="1">
      <alignment horizontal="center" vertical="center" wrapText="1"/>
    </xf>
    <xf numFmtId="14" fontId="11" fillId="0" borderId="4" xfId="8" applyNumberFormat="1" applyFont="1" applyBorder="1" applyAlignment="1">
      <alignment horizontal="center" vertical="center" wrapText="1"/>
    </xf>
    <xf numFmtId="0" fontId="25" fillId="0" borderId="4" xfId="2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7" fillId="0" borderId="36" xfId="0" applyFont="1" applyBorder="1" applyAlignment="1">
      <alignment horizontal="right" vertical="center"/>
    </xf>
    <xf numFmtId="0" fontId="27" fillId="0" borderId="40" xfId="0" applyFont="1" applyBorder="1" applyAlignment="1">
      <alignment vertical="center"/>
    </xf>
    <xf numFmtId="0" fontId="27" fillId="5" borderId="41" xfId="0" applyFont="1" applyFill="1" applyBorder="1" applyAlignment="1" applyProtection="1">
      <alignment vertical="center" wrapText="1"/>
      <protection locked="0"/>
    </xf>
    <xf numFmtId="0" fontId="27" fillId="5" borderId="0" xfId="0" applyFont="1" applyFill="1" applyAlignment="1" applyProtection="1">
      <alignment vertical="center" wrapText="1"/>
      <protection locked="0"/>
    </xf>
    <xf numFmtId="1" fontId="27" fillId="5" borderId="40" xfId="0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7" fillId="0" borderId="36" xfId="0" applyFont="1" applyBorder="1" applyAlignment="1">
      <alignment vertical="center" wrapText="1"/>
    </xf>
    <xf numFmtId="1" fontId="7" fillId="0" borderId="36" xfId="0" applyNumberFormat="1" applyFont="1" applyBorder="1" applyAlignment="1">
      <alignment horizontal="center"/>
    </xf>
    <xf numFmtId="168" fontId="27" fillId="0" borderId="45" xfId="0" applyNumberFormat="1" applyFont="1" applyBorder="1" applyAlignment="1">
      <alignment horizontal="right"/>
    </xf>
    <xf numFmtId="10" fontId="27" fillId="0" borderId="0" xfId="0" applyNumberFormat="1" applyFont="1"/>
    <xf numFmtId="0" fontId="27" fillId="0" borderId="46" xfId="0" applyFont="1" applyBorder="1" applyAlignment="1">
      <alignment horizontal="center" vertical="center"/>
    </xf>
    <xf numFmtId="0" fontId="27" fillId="5" borderId="41" xfId="0" applyFont="1" applyFill="1" applyBorder="1" applyAlignment="1" applyProtection="1">
      <alignment horizontal="right" vertical="top"/>
      <protection locked="0"/>
    </xf>
    <xf numFmtId="10" fontId="7" fillId="0" borderId="47" xfId="0" applyNumberFormat="1" applyFont="1" applyBorder="1" applyAlignment="1">
      <alignment vertical="top"/>
    </xf>
    <xf numFmtId="0" fontId="27" fillId="0" borderId="48" xfId="0" applyFont="1" applyBorder="1" applyAlignment="1">
      <alignment horizontal="center" vertical="center"/>
    </xf>
    <xf numFmtId="1" fontId="7" fillId="0" borderId="37" xfId="0" applyNumberFormat="1" applyFont="1" applyBorder="1" applyAlignment="1">
      <alignment horizontal="center"/>
    </xf>
    <xf numFmtId="0" fontId="27" fillId="0" borderId="4" xfId="0" applyFont="1" applyBorder="1" applyAlignment="1">
      <alignment horizontal="right"/>
    </xf>
    <xf numFmtId="0" fontId="27" fillId="5" borderId="4" xfId="0" applyFont="1" applyFill="1" applyBorder="1" applyAlignment="1" applyProtection="1">
      <alignment horizontal="right" vertical="top"/>
      <protection locked="0"/>
    </xf>
    <xf numFmtId="0" fontId="7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9" fillId="6" borderId="4" xfId="0" applyFont="1" applyFill="1" applyBorder="1" applyAlignment="1">
      <alignment horizontal="center" vertical="center" wrapText="1"/>
    </xf>
    <xf numFmtId="10" fontId="29" fillId="6" borderId="49" xfId="0" applyNumberFormat="1" applyFont="1" applyFill="1" applyBorder="1" applyAlignment="1">
      <alignment horizontal="center" vertical="center"/>
    </xf>
    <xf numFmtId="0" fontId="29" fillId="6" borderId="50" xfId="0" applyFont="1" applyFill="1" applyBorder="1" applyAlignment="1">
      <alignment vertical="center"/>
    </xf>
    <xf numFmtId="10" fontId="30" fillId="0" borderId="49" xfId="0" applyNumberFormat="1" applyFont="1" applyBorder="1" applyAlignment="1">
      <alignment horizontal="center" vertical="center"/>
    </xf>
    <xf numFmtId="10" fontId="31" fillId="7" borderId="51" xfId="0" applyNumberFormat="1" applyFont="1" applyFill="1" applyBorder="1" applyAlignment="1" applyProtection="1">
      <alignment horizontal="center" vertical="center"/>
      <protection locked="0"/>
    </xf>
    <xf numFmtId="0" fontId="29" fillId="6" borderId="52" xfId="0" applyFont="1" applyFill="1" applyBorder="1" applyAlignment="1">
      <alignment vertical="center"/>
    </xf>
    <xf numFmtId="10" fontId="30" fillId="0" borderId="53" xfId="0" applyNumberFormat="1" applyFont="1" applyBorder="1" applyAlignment="1">
      <alignment horizontal="center" vertical="center"/>
    </xf>
    <xf numFmtId="10" fontId="31" fillId="7" borderId="54" xfId="0" applyNumberFormat="1" applyFont="1" applyFill="1" applyBorder="1" applyAlignment="1" applyProtection="1">
      <alignment horizontal="center" vertical="center"/>
      <protection locked="0"/>
    </xf>
    <xf numFmtId="10" fontId="29" fillId="5" borderId="55" xfId="0" applyNumberFormat="1" applyFont="1" applyFill="1" applyBorder="1" applyAlignment="1" applyProtection="1">
      <alignment horizontal="center" vertical="center"/>
      <protection locked="0"/>
    </xf>
    <xf numFmtId="10" fontId="29" fillId="0" borderId="55" xfId="0" applyNumberFormat="1" applyFont="1" applyBorder="1" applyAlignment="1" applyProtection="1">
      <alignment horizontal="center" vertical="center"/>
      <protection locked="0"/>
    </xf>
    <xf numFmtId="10" fontId="31" fillId="0" borderId="56" xfId="0" applyNumberFormat="1" applyFont="1" applyBorder="1" applyAlignment="1">
      <alignment horizontal="center" vertical="center"/>
    </xf>
    <xf numFmtId="10" fontId="29" fillId="0" borderId="4" xfId="0" applyNumberFormat="1" applyFont="1" applyBorder="1" applyAlignment="1">
      <alignment horizontal="center" vertical="center"/>
    </xf>
    <xf numFmtId="10" fontId="31" fillId="0" borderId="59" xfId="0" applyNumberFormat="1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0" fontId="2" fillId="0" borderId="0" xfId="2" applyAlignment="1">
      <alignment wrapText="1"/>
    </xf>
    <xf numFmtId="10" fontId="11" fillId="0" borderId="4" xfId="9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44" fontId="17" fillId="0" borderId="0" xfId="0" applyNumberFormat="1" applyFont="1"/>
    <xf numFmtId="44" fontId="0" fillId="2" borderId="17" xfId="0" applyNumberFormat="1" applyFill="1" applyBorder="1"/>
    <xf numFmtId="44" fontId="0" fillId="2" borderId="18" xfId="0" applyNumberFormat="1" applyFill="1" applyBorder="1"/>
    <xf numFmtId="10" fontId="0" fillId="2" borderId="20" xfId="9" applyNumberFormat="1" applyFont="1" applyFill="1" applyBorder="1" applyAlignment="1">
      <alignment horizontal="center"/>
    </xf>
    <xf numFmtId="49" fontId="6" fillId="0" borderId="4" xfId="4" applyNumberFormat="1" applyFont="1" applyBorder="1" applyAlignment="1">
      <alignment horizontal="center" vertical="center"/>
    </xf>
    <xf numFmtId="44" fontId="10" fillId="2" borderId="4" xfId="8" applyFont="1" applyFill="1" applyBorder="1" applyAlignment="1">
      <alignment horizontal="center" vertical="center" wrapText="1"/>
    </xf>
    <xf numFmtId="44" fontId="10" fillId="2" borderId="4" xfId="8" applyFont="1" applyFill="1" applyBorder="1" applyAlignment="1">
      <alignment horizontal="center" vertical="center"/>
    </xf>
    <xf numFmtId="44" fontId="12" fillId="4" borderId="4" xfId="8" applyFont="1" applyFill="1" applyBorder="1" applyAlignment="1">
      <alignment horizontal="center" vertical="center" wrapText="1"/>
    </xf>
    <xf numFmtId="44" fontId="10" fillId="2" borderId="4" xfId="8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" fontId="35" fillId="0" borderId="5" xfId="0" applyNumberFormat="1" applyFont="1" applyBorder="1" applyAlignment="1">
      <alignment horizontal="center" vertical="center" shrinkToFit="1"/>
    </xf>
    <xf numFmtId="0" fontId="3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35" fillId="0" borderId="4" xfId="0" applyFont="1" applyBorder="1" applyAlignment="1">
      <alignment vertical="center" wrapText="1"/>
    </xf>
    <xf numFmtId="2" fontId="11" fillId="0" borderId="4" xfId="2" applyNumberFormat="1" applyFont="1" applyBorder="1" applyAlignment="1">
      <alignment horizontal="center" vertical="center"/>
    </xf>
    <xf numFmtId="44" fontId="11" fillId="0" borderId="4" xfId="8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44" fontId="0" fillId="0" borderId="4" xfId="8" applyFont="1" applyBorder="1" applyAlignment="1">
      <alignment horizontal="center"/>
    </xf>
    <xf numFmtId="49" fontId="6" fillId="0" borderId="64" xfId="4" applyNumberFormat="1" applyFont="1" applyBorder="1" applyAlignment="1">
      <alignment horizontal="center" vertical="center"/>
    </xf>
    <xf numFmtId="2" fontId="6" fillId="3" borderId="4" xfId="4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/>
    </xf>
    <xf numFmtId="1" fontId="35" fillId="0" borderId="4" xfId="0" applyNumberFormat="1" applyFont="1" applyBorder="1" applyAlignment="1">
      <alignment horizontal="center" vertical="center" shrinkToFit="1"/>
    </xf>
    <xf numFmtId="49" fontId="6" fillId="0" borderId="4" xfId="4" applyNumberFormat="1" applyFont="1" applyBorder="1" applyAlignment="1">
      <alignment horizontal="center" vertical="center" wrapText="1"/>
    </xf>
    <xf numFmtId="14" fontId="35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49" fontId="35" fillId="0" borderId="5" xfId="0" applyNumberFormat="1" applyFont="1" applyBorder="1" applyAlignment="1">
      <alignment horizontal="center" vertical="center" shrinkToFit="1"/>
    </xf>
    <xf numFmtId="49" fontId="35" fillId="0" borderId="5" xfId="0" applyNumberFormat="1" applyFont="1" applyBorder="1" applyAlignment="1">
      <alignment horizontal="center" vertical="center"/>
    </xf>
    <xf numFmtId="49" fontId="0" fillId="0" borderId="0" xfId="0" applyNumberFormat="1"/>
    <xf numFmtId="49" fontId="13" fillId="0" borderId="4" xfId="0" applyNumberFormat="1" applyFont="1" applyBorder="1" applyAlignment="1">
      <alignment horizontal="center" vertical="center"/>
    </xf>
    <xf numFmtId="0" fontId="11" fillId="0" borderId="4" xfId="2" applyFont="1" applyBorder="1" applyAlignment="1">
      <alignment vertical="center" wrapText="1"/>
    </xf>
    <xf numFmtId="0" fontId="11" fillId="0" borderId="5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4" xfId="2" applyFont="1" applyBorder="1" applyAlignment="1">
      <alignment vertical="center"/>
    </xf>
    <xf numFmtId="169" fontId="13" fillId="3" borderId="4" xfId="0" applyNumberFormat="1" applyFont="1" applyFill="1" applyBorder="1" applyAlignment="1">
      <alignment horizontal="center" vertical="center"/>
    </xf>
    <xf numFmtId="169" fontId="14" fillId="2" borderId="4" xfId="0" applyNumberFormat="1" applyFont="1" applyFill="1" applyBorder="1" applyAlignment="1">
      <alignment horizontal="center" vertical="center"/>
    </xf>
    <xf numFmtId="169" fontId="13" fillId="4" borderId="4" xfId="0" applyNumberFormat="1" applyFont="1" applyFill="1" applyBorder="1" applyAlignment="1">
      <alignment horizontal="center" vertical="center"/>
    </xf>
    <xf numFmtId="169" fontId="13" fillId="0" borderId="4" xfId="0" applyNumberFormat="1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10" fontId="20" fillId="0" borderId="4" xfId="2" applyNumberFormat="1" applyFont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 wrapText="1"/>
    </xf>
    <xf numFmtId="14" fontId="20" fillId="0" borderId="4" xfId="2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2" borderId="4" xfId="0" applyFont="1" applyFill="1" applyBorder="1" applyAlignment="1">
      <alignment horizontal="center" vertical="center"/>
    </xf>
    <xf numFmtId="0" fontId="0" fillId="0" borderId="20" xfId="0" applyBorder="1" applyAlignment="1">
      <alignment horizontal="right"/>
    </xf>
    <xf numFmtId="164" fontId="0" fillId="0" borderId="2" xfId="0" applyNumberFormat="1" applyBorder="1"/>
    <xf numFmtId="0" fontId="0" fillId="0" borderId="3" xfId="0" applyBorder="1" applyAlignment="1">
      <alignment horizontal="right"/>
    </xf>
    <xf numFmtId="8" fontId="0" fillId="0" borderId="6" xfId="0" applyNumberFormat="1" applyBorder="1"/>
    <xf numFmtId="0" fontId="0" fillId="0" borderId="17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7" xfId="0" applyBorder="1" applyAlignment="1">
      <alignment horizontal="center"/>
    </xf>
    <xf numFmtId="0" fontId="8" fillId="0" borderId="7" xfId="2" applyFont="1" applyBorder="1" applyAlignment="1">
      <alignment horizontal="center" vertical="center" wrapText="1"/>
    </xf>
    <xf numFmtId="44" fontId="0" fillId="4" borderId="26" xfId="0" applyNumberFormat="1" applyFill="1" applyBorder="1"/>
    <xf numFmtId="10" fontId="0" fillId="4" borderId="25" xfId="9" applyNumberFormat="1" applyFont="1" applyFill="1" applyBorder="1" applyAlignment="1"/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0" fillId="4" borderId="4" xfId="2" applyFont="1" applyFill="1" applyBorder="1" applyAlignment="1">
      <alignment horizontal="center" vertical="center"/>
    </xf>
    <xf numFmtId="0" fontId="10" fillId="4" borderId="4" xfId="2" applyFont="1" applyFill="1" applyBorder="1" applyAlignment="1">
      <alignment horizontal="left" vertical="center" wrapText="1"/>
    </xf>
    <xf numFmtId="0" fontId="10" fillId="2" borderId="7" xfId="2" applyFont="1" applyFill="1" applyBorder="1" applyAlignment="1">
      <alignment horizontal="center" vertical="center"/>
    </xf>
    <xf numFmtId="0" fontId="10" fillId="2" borderId="13" xfId="2" applyFont="1" applyFill="1" applyBorder="1" applyAlignment="1">
      <alignment horizontal="center" vertical="center"/>
    </xf>
    <xf numFmtId="0" fontId="10" fillId="2" borderId="5" xfId="2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left" vertical="center" wrapText="1"/>
    </xf>
    <xf numFmtId="0" fontId="10" fillId="2" borderId="13" xfId="2" applyFont="1" applyFill="1" applyBorder="1" applyAlignment="1">
      <alignment horizontal="left" vertical="center" wrapText="1"/>
    </xf>
    <xf numFmtId="0" fontId="10" fillId="2" borderId="5" xfId="2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right" vertical="center"/>
    </xf>
    <xf numFmtId="0" fontId="14" fillId="2" borderId="16" xfId="0" applyFont="1" applyFill="1" applyBorder="1" applyAlignment="1">
      <alignment horizontal="right" vertical="center"/>
    </xf>
    <xf numFmtId="0" fontId="14" fillId="2" borderId="32" xfId="0" applyFont="1" applyFill="1" applyBorder="1" applyAlignment="1">
      <alignment horizontal="right" vertical="center"/>
    </xf>
    <xf numFmtId="44" fontId="10" fillId="2" borderId="31" xfId="2" applyNumberFormat="1" applyFont="1" applyFill="1" applyBorder="1" applyAlignment="1">
      <alignment horizontal="center" vertical="center" wrapText="1"/>
    </xf>
    <xf numFmtId="44" fontId="10" fillId="2" borderId="30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left" vertical="center"/>
    </xf>
    <xf numFmtId="0" fontId="15" fillId="0" borderId="7" xfId="2" applyFont="1" applyBorder="1" applyAlignment="1">
      <alignment horizontal="left" vertical="center" wrapText="1"/>
    </xf>
    <xf numFmtId="0" fontId="15" fillId="0" borderId="13" xfId="2" applyFont="1" applyBorder="1" applyAlignment="1">
      <alignment horizontal="left" vertical="center" wrapText="1"/>
    </xf>
    <xf numFmtId="0" fontId="15" fillId="0" borderId="5" xfId="2" applyFont="1" applyBorder="1" applyAlignment="1">
      <alignment horizontal="left" vertical="center" wrapText="1"/>
    </xf>
    <xf numFmtId="0" fontId="10" fillId="2" borderId="4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left" vertical="center" wrapText="1"/>
    </xf>
    <xf numFmtId="10" fontId="3" fillId="2" borderId="18" xfId="2" applyNumberFormat="1" applyFont="1" applyFill="1" applyBorder="1" applyAlignment="1">
      <alignment horizontal="center" vertical="center" wrapText="1"/>
    </xf>
    <xf numFmtId="10" fontId="3" fillId="2" borderId="19" xfId="2" applyNumberFormat="1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right" vertical="center" wrapText="1"/>
    </xf>
    <xf numFmtId="49" fontId="3" fillId="2" borderId="18" xfId="2" applyNumberFormat="1" applyFont="1" applyFill="1" applyBorder="1" applyAlignment="1">
      <alignment horizontal="right" vertical="center" wrapText="1"/>
    </xf>
    <xf numFmtId="0" fontId="3" fillId="0" borderId="0" xfId="2" applyFont="1" applyAlignment="1">
      <alignment horizontal="center" vertical="center" wrapText="1"/>
    </xf>
    <xf numFmtId="49" fontId="12" fillId="4" borderId="24" xfId="2" applyNumberFormat="1" applyFont="1" applyFill="1" applyBorder="1" applyAlignment="1">
      <alignment horizontal="center" vertical="center" wrapText="1"/>
    </xf>
    <xf numFmtId="0" fontId="3" fillId="4" borderId="20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center" vertical="center" wrapText="1"/>
    </xf>
    <xf numFmtId="10" fontId="3" fillId="0" borderId="4" xfId="2" applyNumberFormat="1" applyFont="1" applyBorder="1" applyAlignment="1">
      <alignment horizontal="center" vertical="center" wrapText="1"/>
    </xf>
    <xf numFmtId="10" fontId="3" fillId="0" borderId="6" xfId="2" applyNumberFormat="1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10" fontId="3" fillId="0" borderId="7" xfId="2" applyNumberFormat="1" applyFont="1" applyBorder="1" applyAlignment="1">
      <alignment horizontal="center" vertical="center" wrapText="1"/>
    </xf>
    <xf numFmtId="10" fontId="3" fillId="0" borderId="65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22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44" fontId="3" fillId="0" borderId="4" xfId="8" applyFont="1" applyBorder="1" applyAlignment="1">
      <alignment horizontal="center" vertical="center" wrapText="1"/>
    </xf>
    <xf numFmtId="0" fontId="11" fillId="0" borderId="4" xfId="2" applyFont="1" applyBorder="1" applyAlignment="1">
      <alignment horizontal="left" vertical="center" wrapText="1"/>
    </xf>
    <xf numFmtId="0" fontId="15" fillId="0" borderId="4" xfId="2" applyFont="1" applyBorder="1" applyAlignment="1">
      <alignment vertical="center" wrapText="1"/>
    </xf>
    <xf numFmtId="0" fontId="3" fillId="0" borderId="20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35" xfId="2" applyFont="1" applyBorder="1" applyAlignment="1">
      <alignment horizontal="center" vertical="center" wrapText="1"/>
    </xf>
    <xf numFmtId="0" fontId="3" fillId="0" borderId="23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left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49" fontId="3" fillId="2" borderId="4" xfId="2" applyNumberFormat="1" applyFont="1" applyFill="1" applyBorder="1" applyAlignment="1">
      <alignment horizontal="center" vertical="center" wrapText="1"/>
    </xf>
    <xf numFmtId="49" fontId="3" fillId="2" borderId="6" xfId="2" applyNumberFormat="1" applyFont="1" applyFill="1" applyBorder="1" applyAlignment="1">
      <alignment horizontal="center" vertical="center" wrapText="1"/>
    </xf>
    <xf numFmtId="166" fontId="19" fillId="0" borderId="0" xfId="0" applyNumberFormat="1" applyFont="1" applyAlignment="1">
      <alignment horizontal="left" vertical="center"/>
    </xf>
    <xf numFmtId="0" fontId="19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8" fillId="2" borderId="4" xfId="0" applyFont="1" applyFill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7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24" fillId="0" borderId="7" xfId="2" applyFont="1" applyBorder="1" applyAlignment="1">
      <alignment horizontal="center" vertical="center" wrapText="1"/>
    </xf>
    <xf numFmtId="0" fontId="24" fillId="0" borderId="13" xfId="2" applyFont="1" applyBorder="1" applyAlignment="1">
      <alignment horizontal="center" vertical="center" wrapText="1"/>
    </xf>
    <xf numFmtId="0" fontId="24" fillId="0" borderId="5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4" fontId="21" fillId="2" borderId="27" xfId="0" applyNumberFormat="1" applyFont="1" applyFill="1" applyBorder="1" applyAlignment="1">
      <alignment horizontal="center" vertical="center"/>
    </xf>
    <xf numFmtId="44" fontId="21" fillId="2" borderId="11" xfId="0" applyNumberFormat="1" applyFont="1" applyFill="1" applyBorder="1" applyAlignment="1">
      <alignment horizontal="center" vertical="center"/>
    </xf>
    <xf numFmtId="44" fontId="21" fillId="2" borderId="12" xfId="0" applyNumberFormat="1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9" fillId="6" borderId="52" xfId="0" applyFont="1" applyFill="1" applyBorder="1" applyAlignment="1">
      <alignment vertical="center"/>
    </xf>
    <xf numFmtId="0" fontId="29" fillId="6" borderId="38" xfId="0" applyFont="1" applyFill="1" applyBorder="1" applyAlignment="1">
      <alignment vertical="center"/>
    </xf>
    <xf numFmtId="0" fontId="29" fillId="6" borderId="39" xfId="0" applyFont="1" applyFill="1" applyBorder="1" applyAlignment="1">
      <alignment vertical="center"/>
    </xf>
    <xf numFmtId="0" fontId="29" fillId="6" borderId="61" xfId="0" applyFont="1" applyFill="1" applyBorder="1" applyAlignment="1">
      <alignment vertical="center"/>
    </xf>
    <xf numFmtId="0" fontId="29" fillId="6" borderId="62" xfId="0" applyFont="1" applyFill="1" applyBorder="1" applyAlignment="1">
      <alignment vertical="center"/>
    </xf>
    <xf numFmtId="0" fontId="29" fillId="6" borderId="63" xfId="0" applyFont="1" applyFill="1" applyBorder="1" applyAlignment="1">
      <alignment vertical="center"/>
    </xf>
    <xf numFmtId="0" fontId="32" fillId="0" borderId="57" xfId="0" applyFont="1" applyBorder="1" applyAlignment="1">
      <alignment vertical="center"/>
    </xf>
    <xf numFmtId="0" fontId="32" fillId="0" borderId="58" xfId="0" applyFont="1" applyBorder="1" applyAlignment="1">
      <alignment vertical="center"/>
    </xf>
    <xf numFmtId="0" fontId="32" fillId="0" borderId="60" xfId="0" applyFont="1" applyBorder="1" applyAlignment="1">
      <alignment vertical="center"/>
    </xf>
    <xf numFmtId="0" fontId="29" fillId="0" borderId="7" xfId="0" applyFont="1" applyBorder="1" applyAlignment="1">
      <alignment vertical="center"/>
    </xf>
    <xf numFmtId="0" fontId="29" fillId="0" borderId="13" xfId="0" applyFont="1" applyBorder="1" applyAlignment="1">
      <alignment vertical="center"/>
    </xf>
    <xf numFmtId="0" fontId="29" fillId="0" borderId="5" xfId="0" applyFont="1" applyBorder="1" applyAlignment="1">
      <alignment vertical="center"/>
    </xf>
    <xf numFmtId="0" fontId="31" fillId="0" borderId="57" xfId="0" applyFont="1" applyBorder="1" applyAlignment="1">
      <alignment vertical="center"/>
    </xf>
    <xf numFmtId="0" fontId="31" fillId="0" borderId="58" xfId="0" applyFont="1" applyBorder="1" applyAlignment="1">
      <alignment vertical="center"/>
    </xf>
    <xf numFmtId="0" fontId="30" fillId="0" borderId="0" xfId="0" applyFont="1" applyAlignment="1">
      <alignment horizontal="justify" vertical="center" wrapText="1"/>
    </xf>
    <xf numFmtId="0" fontId="29" fillId="6" borderId="7" xfId="0" applyFont="1" applyFill="1" applyBorder="1" applyAlignment="1">
      <alignment horizontal="center" vertical="center"/>
    </xf>
    <xf numFmtId="0" fontId="29" fillId="6" borderId="13" xfId="0" applyFont="1" applyFill="1" applyBorder="1" applyAlignment="1">
      <alignment horizontal="center" vertical="center"/>
    </xf>
    <xf numFmtId="0" fontId="29" fillId="6" borderId="5" xfId="0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167" fontId="27" fillId="5" borderId="37" xfId="0" applyNumberFormat="1" applyFont="1" applyFill="1" applyBorder="1" applyAlignment="1" applyProtection="1">
      <alignment horizontal="left" vertical="center" wrapText="1"/>
      <protection locked="0"/>
    </xf>
    <xf numFmtId="167" fontId="27" fillId="5" borderId="38" xfId="0" applyNumberFormat="1" applyFont="1" applyFill="1" applyBorder="1" applyAlignment="1" applyProtection="1">
      <alignment horizontal="left" vertical="center" wrapText="1"/>
      <protection locked="0"/>
    </xf>
    <xf numFmtId="167" fontId="27" fillId="5" borderId="39" xfId="0" applyNumberFormat="1" applyFont="1" applyFill="1" applyBorder="1" applyAlignment="1" applyProtection="1">
      <alignment horizontal="left" vertical="center" wrapText="1"/>
      <protection locked="0"/>
    </xf>
    <xf numFmtId="0" fontId="27" fillId="5" borderId="37" xfId="0" applyFont="1" applyFill="1" applyBorder="1" applyAlignment="1" applyProtection="1">
      <alignment vertical="center" wrapText="1"/>
      <protection locked="0"/>
    </xf>
    <xf numFmtId="0" fontId="27" fillId="5" borderId="38" xfId="0" applyFont="1" applyFill="1" applyBorder="1" applyAlignment="1" applyProtection="1">
      <alignment vertical="center" wrapText="1"/>
      <protection locked="0"/>
    </xf>
    <xf numFmtId="0" fontId="27" fillId="5" borderId="39" xfId="0" applyFont="1" applyFill="1" applyBorder="1" applyAlignment="1" applyProtection="1">
      <alignment vertical="center" wrapText="1"/>
      <protection locked="0"/>
    </xf>
    <xf numFmtId="10" fontId="27" fillId="0" borderId="42" xfId="0" applyNumberFormat="1" applyFont="1" applyBorder="1" applyAlignment="1">
      <alignment horizontal="center"/>
    </xf>
    <xf numFmtId="10" fontId="27" fillId="0" borderId="43" xfId="0" applyNumberFormat="1" applyFont="1" applyBorder="1" applyAlignment="1">
      <alignment horizontal="center"/>
    </xf>
    <xf numFmtId="10" fontId="27" fillId="0" borderId="44" xfId="0" applyNumberFormat="1" applyFont="1" applyBorder="1" applyAlignment="1">
      <alignment horizontal="center"/>
    </xf>
    <xf numFmtId="10" fontId="27" fillId="0" borderId="42" xfId="0" applyNumberFormat="1" applyFont="1" applyBorder="1" applyAlignment="1">
      <alignment horizontal="distributed" vertical="top"/>
    </xf>
    <xf numFmtId="10" fontId="27" fillId="0" borderId="43" xfId="0" applyNumberFormat="1" applyFont="1" applyBorder="1" applyAlignment="1">
      <alignment horizontal="distributed" vertical="top"/>
    </xf>
    <xf numFmtId="10" fontId="27" fillId="0" borderId="44" xfId="0" applyNumberFormat="1" applyFont="1" applyBorder="1" applyAlignment="1">
      <alignment horizontal="distributed" vertical="top"/>
    </xf>
  </cellXfs>
  <cellStyles count="13">
    <cellStyle name="Moeda" xfId="8" builtinId="4"/>
    <cellStyle name="Moeda 2" xfId="3" xr:uid="{00000000-0005-0000-0000-000001000000}"/>
    <cellStyle name="Moeda 3" xfId="12" xr:uid="{00000000-0005-0000-0000-000002000000}"/>
    <cellStyle name="Normal" xfId="0" builtinId="0"/>
    <cellStyle name="Normal 2" xfId="2" xr:uid="{00000000-0005-0000-0000-000004000000}"/>
    <cellStyle name="Normal 2 2" xfId="6" xr:uid="{00000000-0005-0000-0000-000005000000}"/>
    <cellStyle name="Normal_Orçam. Padrão PMSP Jul07" xfId="4" xr:uid="{00000000-0005-0000-0000-000006000000}"/>
    <cellStyle name="Porcentagem" xfId="9" builtinId="5"/>
    <cellStyle name="Porcentagem 3" xfId="7" xr:uid="{00000000-0005-0000-0000-000008000000}"/>
    <cellStyle name="Vírgula" xfId="1" builtinId="3"/>
    <cellStyle name="Vírgula 2" xfId="10" xr:uid="{00000000-0005-0000-0000-00000A000000}"/>
    <cellStyle name="Vírgula 4" xfId="5" xr:uid="{00000000-0005-0000-0000-00000B000000}"/>
    <cellStyle name="Vírgula 4 2" xfId="11" xr:uid="{00000000-0005-0000-0000-00000C000000}"/>
  </cellStyles>
  <dxfs count="34">
    <dxf>
      <font>
        <b/>
        <i val="0"/>
        <condense val="0"/>
        <extend val="0"/>
        <color auto="1"/>
      </font>
      <fill>
        <patternFill>
          <bgColor indexed="42"/>
        </patternFill>
      </fill>
      <border>
        <left style="hair">
          <color indexed="64"/>
        </left>
        <right style="thin">
          <color indexed="64"/>
        </right>
        <top style="hair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fill>
        <patternFill>
          <bgColor indexed="26"/>
        </patternFill>
      </fill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  <border>
        <left style="thin">
          <color indexed="64"/>
        </left>
        <right style="hair">
          <color indexed="64"/>
        </right>
        <top style="hair">
          <color indexed="64"/>
        </top>
        <bottom style="thin">
          <color indexed="64"/>
        </bottom>
      </border>
    </dxf>
    <dxf>
      <font>
        <condense val="0"/>
        <extend val="0"/>
        <color indexed="9"/>
      </font>
    </dxf>
    <dxf>
      <font>
        <condense val="0"/>
        <extend val="0"/>
      </font>
    </dxf>
    <dxf>
      <font>
        <condense val="0"/>
        <extend val="0"/>
      </font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1</xdr:row>
      <xdr:rowOff>85724</xdr:rowOff>
    </xdr:from>
    <xdr:to>
      <xdr:col>3</xdr:col>
      <xdr:colOff>469082</xdr:colOff>
      <xdr:row>4</xdr:row>
      <xdr:rowOff>161925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6" y="247649"/>
          <a:ext cx="1469206" cy="990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200026</xdr:colOff>
      <xdr:row>1</xdr:row>
      <xdr:rowOff>57148</xdr:rowOff>
    </xdr:from>
    <xdr:to>
      <xdr:col>3</xdr:col>
      <xdr:colOff>342900</xdr:colOff>
      <xdr:row>4</xdr:row>
      <xdr:rowOff>117020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443" y="247648"/>
          <a:ext cx="1243540" cy="8536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58207</xdr:colOff>
      <xdr:row>0</xdr:row>
      <xdr:rowOff>0</xdr:rowOff>
    </xdr:from>
    <xdr:to>
      <xdr:col>1</xdr:col>
      <xdr:colOff>663574</xdr:colOff>
      <xdr:row>2</xdr:row>
      <xdr:rowOff>14607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2BF71C9-1C7B-4AFB-924D-3F043516A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07" y="0"/>
          <a:ext cx="1219200" cy="13057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108\sov\PROJETOS\04%20-%20EDUCA&#199;&#195;O\09%20-%20CEMPI%20MARIA%20BUENO%20DE%20AMO&#202;DO%20CAMPOS%20(VILA%20DIAS)\Reforma%202021\PLANILHAS\BDI%20CEMPI_REV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  <sheetName val="Plan2"/>
      <sheetName val="Plan3"/>
    </sheetNames>
    <sheetDataSet>
      <sheetData sheetId="0" refreshError="1">
        <row r="2">
          <cell r="C2">
            <v>0.20430000000000001</v>
          </cell>
          <cell r="D2">
            <v>0.22120000000000001</v>
          </cell>
          <cell r="E2">
            <v>0.25</v>
          </cell>
        </row>
        <row r="3">
          <cell r="C3">
            <v>0.03</v>
          </cell>
          <cell r="D3">
            <v>0.04</v>
          </cell>
          <cell r="E3">
            <v>5.5E-2</v>
          </cell>
        </row>
        <row r="4">
          <cell r="C4">
            <v>8.0000000000000002E-3</v>
          </cell>
          <cell r="D4">
            <v>8.0000000000000002E-3</v>
          </cell>
          <cell r="E4">
            <v>0.01</v>
          </cell>
        </row>
        <row r="5">
          <cell r="C5">
            <v>9.7000000000000003E-3</v>
          </cell>
          <cell r="D5">
            <v>1.2699999999999999E-2</v>
          </cell>
          <cell r="E5">
            <v>1.2699999999999999E-2</v>
          </cell>
        </row>
        <row r="6">
          <cell r="C6">
            <v>5.8999999999999999E-3</v>
          </cell>
          <cell r="D6">
            <v>1.23E-2</v>
          </cell>
          <cell r="E6">
            <v>1.3899999999999999E-2</v>
          </cell>
        </row>
        <row r="7">
          <cell r="C7">
            <v>6.1600000000000002E-2</v>
          </cell>
          <cell r="D7">
            <v>7.3999999999999996E-2</v>
          </cell>
          <cell r="E7">
            <v>8.9599999999999999E-2</v>
          </cell>
        </row>
        <row r="11">
          <cell r="C11">
            <v>0.19600000000000001</v>
          </cell>
          <cell r="D11">
            <v>0.2097</v>
          </cell>
          <cell r="E11">
            <v>0.24229999999999999</v>
          </cell>
        </row>
        <row r="12">
          <cell r="C12">
            <v>3.7999999999999999E-2</v>
          </cell>
          <cell r="D12">
            <v>4.0099999999999997E-2</v>
          </cell>
          <cell r="E12">
            <v>4.6699999999999998E-2</v>
          </cell>
        </row>
        <row r="13">
          <cell r="C13">
            <v>3.2000000000000002E-3</v>
          </cell>
          <cell r="D13">
            <v>4.0000000000000001E-3</v>
          </cell>
          <cell r="E13">
            <v>7.4000000000000003E-3</v>
          </cell>
        </row>
        <row r="14">
          <cell r="C14">
            <v>5.0000000000000001E-3</v>
          </cell>
          <cell r="D14">
            <v>5.5999999999999999E-3</v>
          </cell>
          <cell r="E14">
            <v>9.7000000000000003E-3</v>
          </cell>
        </row>
        <row r="15">
          <cell r="C15">
            <v>1.0200000000000001E-2</v>
          </cell>
          <cell r="D15">
            <v>1.11E-2</v>
          </cell>
          <cell r="E15">
            <v>1.21E-2</v>
          </cell>
        </row>
        <row r="16">
          <cell r="C16">
            <v>6.6400000000000001E-2</v>
          </cell>
          <cell r="D16">
            <v>7.2999999999999995E-2</v>
          </cell>
          <cell r="E16">
            <v>8.6900000000000005E-2</v>
          </cell>
        </row>
        <row r="20">
          <cell r="C20">
            <v>0.20760000000000001</v>
          </cell>
          <cell r="D20">
            <v>0.24179999999999999</v>
          </cell>
          <cell r="E20">
            <v>0.26440000000000002</v>
          </cell>
        </row>
        <row r="21">
          <cell r="C21">
            <v>3.4299999999999997E-2</v>
          </cell>
          <cell r="D21">
            <v>4.9299999999999997E-2</v>
          </cell>
          <cell r="E21">
            <v>6.7100000000000007E-2</v>
          </cell>
        </row>
        <row r="22">
          <cell r="C22">
            <v>2.8E-3</v>
          </cell>
          <cell r="D22">
            <v>4.8999999999999998E-3</v>
          </cell>
          <cell r="E22">
            <v>7.4999999999999997E-3</v>
          </cell>
        </row>
        <row r="23">
          <cell r="C23">
            <v>0.01</v>
          </cell>
          <cell r="D23">
            <v>1.3899999999999999E-2</v>
          </cell>
          <cell r="E23">
            <v>1.7399999999999999E-2</v>
          </cell>
        </row>
        <row r="24">
          <cell r="C24">
            <v>9.4000000000000004E-3</v>
          </cell>
          <cell r="D24">
            <v>9.9000000000000008E-3</v>
          </cell>
          <cell r="E24">
            <v>1.17E-2</v>
          </cell>
        </row>
        <row r="25">
          <cell r="C25">
            <v>6.7400000000000002E-2</v>
          </cell>
          <cell r="D25">
            <v>8.0399999999999999E-2</v>
          </cell>
          <cell r="E25">
            <v>9.4E-2</v>
          </cell>
        </row>
        <row r="29">
          <cell r="C29">
            <v>0.24</v>
          </cell>
          <cell r="D29">
            <v>0.25840000000000002</v>
          </cell>
          <cell r="E29">
            <v>0.27860000000000001</v>
          </cell>
        </row>
        <row r="30">
          <cell r="C30">
            <v>5.2900000000000003E-2</v>
          </cell>
          <cell r="D30">
            <v>5.9200000000000003E-2</v>
          </cell>
          <cell r="E30">
            <v>7.9299999999999995E-2</v>
          </cell>
        </row>
        <row r="31">
          <cell r="C31">
            <v>2.5000000000000001E-3</v>
          </cell>
          <cell r="D31">
            <v>5.1000000000000004E-3</v>
          </cell>
          <cell r="E31">
            <v>5.5999999999999999E-3</v>
          </cell>
        </row>
        <row r="32">
          <cell r="C32">
            <v>0.01</v>
          </cell>
          <cell r="D32">
            <v>1.4800000000000001E-2</v>
          </cell>
          <cell r="E32">
            <v>1.9699999999999999E-2</v>
          </cell>
        </row>
        <row r="33">
          <cell r="C33">
            <v>1.01E-2</v>
          </cell>
          <cell r="D33">
            <v>1.0699999999999999E-2</v>
          </cell>
          <cell r="E33">
            <v>1.11E-2</v>
          </cell>
        </row>
        <row r="34">
          <cell r="C34">
            <v>0.08</v>
          </cell>
          <cell r="D34">
            <v>8.3099999999999993E-2</v>
          </cell>
          <cell r="E34">
            <v>9.5100000000000004E-2</v>
          </cell>
        </row>
        <row r="38">
          <cell r="C38">
            <v>0.22800000000000001</v>
          </cell>
          <cell r="D38">
            <v>0.27479999999999999</v>
          </cell>
          <cell r="E38">
            <v>0.3095</v>
          </cell>
        </row>
        <row r="39">
          <cell r="C39">
            <v>0.04</v>
          </cell>
          <cell r="D39">
            <v>5.5199999999999999E-2</v>
          </cell>
          <cell r="E39">
            <v>7.85E-2</v>
          </cell>
        </row>
        <row r="40">
          <cell r="C40">
            <v>8.0999999999999996E-3</v>
          </cell>
          <cell r="D40">
            <v>1.2200000000000001E-2</v>
          </cell>
          <cell r="E40">
            <v>1.9900000000000001E-2</v>
          </cell>
        </row>
        <row r="41">
          <cell r="C41">
            <v>1.46E-2</v>
          </cell>
          <cell r="D41">
            <v>2.3199999999999998E-2</v>
          </cell>
          <cell r="E41">
            <v>3.1600000000000003E-2</v>
          </cell>
        </row>
        <row r="42">
          <cell r="C42">
            <v>9.4000000000000004E-3</v>
          </cell>
          <cell r="D42">
            <v>1.0200000000000001E-2</v>
          </cell>
          <cell r="E42">
            <v>1.3299999999999999E-2</v>
          </cell>
        </row>
        <row r="43">
          <cell r="C43">
            <v>7.1400000000000005E-2</v>
          </cell>
          <cell r="D43">
            <v>8.4000000000000005E-2</v>
          </cell>
          <cell r="E43">
            <v>0.1043</v>
          </cell>
        </row>
        <row r="47">
          <cell r="C47">
            <v>0.111</v>
          </cell>
          <cell r="D47">
            <v>0.14019999999999999</v>
          </cell>
          <cell r="E47">
            <v>0.16800000000000001</v>
          </cell>
        </row>
        <row r="48">
          <cell r="C48">
            <v>1.4999999999999999E-2</v>
          </cell>
          <cell r="D48">
            <v>3.4500000000000003E-2</v>
          </cell>
          <cell r="E48">
            <v>4.4900000000000002E-2</v>
          </cell>
        </row>
        <row r="49">
          <cell r="C49">
            <v>3.0000000000000001E-3</v>
          </cell>
          <cell r="D49">
            <v>4.7999999999999996E-3</v>
          </cell>
          <cell r="E49">
            <v>8.2000000000000007E-3</v>
          </cell>
        </row>
        <row r="50">
          <cell r="C50">
            <v>5.5999999999999999E-3</v>
          </cell>
          <cell r="D50">
            <v>8.5000000000000006E-3</v>
          </cell>
          <cell r="E50">
            <v>8.8999999999999999E-3</v>
          </cell>
        </row>
        <row r="51">
          <cell r="C51">
            <v>8.5000000000000006E-3</v>
          </cell>
          <cell r="D51">
            <v>8.5000000000000006E-3</v>
          </cell>
          <cell r="E51">
            <v>1.11E-2</v>
          </cell>
        </row>
        <row r="52">
          <cell r="C52">
            <v>3.5000000000000003E-2</v>
          </cell>
          <cell r="D52">
            <v>5.11E-2</v>
          </cell>
          <cell r="E52">
            <v>6.2199999999999998E-2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B1:O235"/>
  <sheetViews>
    <sheetView view="pageBreakPreview" topLeftCell="A222" zoomScaleNormal="100" zoomScaleSheetLayoutView="100" zoomScalePageLayoutView="55" workbookViewId="0">
      <selection activeCell="E237" sqref="E237"/>
    </sheetView>
  </sheetViews>
  <sheetFormatPr defaultRowHeight="15" x14ac:dyDescent="0.25"/>
  <cols>
    <col min="1" max="1" width="1.7109375" customWidth="1"/>
    <col min="2" max="2" width="7" customWidth="1"/>
    <col min="3" max="3" width="9.5703125" customWidth="1"/>
    <col min="4" max="4" width="9.85546875" bestFit="1" customWidth="1"/>
    <col min="5" max="5" width="64.42578125" customWidth="1"/>
    <col min="6" max="6" width="17" customWidth="1"/>
    <col min="7" max="7" width="12.42578125" customWidth="1"/>
    <col min="8" max="8" width="14.85546875" style="35" customWidth="1"/>
    <col min="9" max="9" width="18.42578125" style="40" customWidth="1"/>
    <col min="10" max="10" width="17.140625" style="35" customWidth="1"/>
    <col min="11" max="11" width="9.140625" customWidth="1"/>
  </cols>
  <sheetData>
    <row r="1" spans="2:11" ht="12.75" customHeight="1" thickBot="1" x14ac:dyDescent="0.3">
      <c r="B1" s="193"/>
      <c r="C1" s="193"/>
      <c r="D1" s="193"/>
      <c r="E1" s="193"/>
      <c r="F1" s="193"/>
      <c r="G1" s="193"/>
      <c r="H1" s="193"/>
      <c r="I1" s="193"/>
      <c r="J1" s="193"/>
    </row>
    <row r="2" spans="2:11" ht="30.75" customHeight="1" x14ac:dyDescent="0.25">
      <c r="B2" s="203"/>
      <c r="C2" s="204"/>
      <c r="D2" s="204"/>
      <c r="E2" s="196" t="s">
        <v>0</v>
      </c>
      <c r="F2" s="196"/>
      <c r="G2" s="196"/>
      <c r="H2" s="196"/>
      <c r="I2" s="196"/>
      <c r="J2" s="196"/>
      <c r="K2" s="197"/>
    </row>
    <row r="3" spans="2:11" ht="21" customHeight="1" x14ac:dyDescent="0.25">
      <c r="B3" s="188"/>
      <c r="C3" s="189"/>
      <c r="D3" s="189"/>
      <c r="E3" s="198" t="s">
        <v>86</v>
      </c>
      <c r="F3" s="198"/>
      <c r="G3" s="198"/>
      <c r="H3" s="198"/>
      <c r="I3" s="198"/>
      <c r="J3" s="198"/>
      <c r="K3" s="199"/>
    </row>
    <row r="4" spans="2:11" ht="20.25" customHeight="1" x14ac:dyDescent="0.25">
      <c r="B4" s="188"/>
      <c r="C4" s="189"/>
      <c r="D4" s="189"/>
      <c r="E4" s="194" t="s">
        <v>30</v>
      </c>
      <c r="F4" s="194"/>
      <c r="G4" s="194"/>
      <c r="H4" s="194"/>
      <c r="I4" s="194"/>
      <c r="J4" s="194"/>
      <c r="K4" s="195"/>
    </row>
    <row r="5" spans="2:11" ht="20.25" customHeight="1" x14ac:dyDescent="0.25">
      <c r="B5" s="205"/>
      <c r="C5" s="206"/>
      <c r="D5" s="206"/>
      <c r="E5" s="194" t="s">
        <v>31</v>
      </c>
      <c r="F5" s="194"/>
      <c r="G5" s="194"/>
      <c r="H5" s="194"/>
      <c r="I5" s="194"/>
      <c r="J5" s="194"/>
      <c r="K5" s="195"/>
    </row>
    <row r="6" spans="2:11" ht="24" x14ac:dyDescent="0.25">
      <c r="B6" s="189"/>
      <c r="C6" s="189"/>
      <c r="D6" s="189"/>
      <c r="E6" s="189"/>
      <c r="F6" s="189"/>
      <c r="G6" s="189"/>
      <c r="H6" s="189"/>
      <c r="I6" s="189"/>
      <c r="J6" s="200" t="s">
        <v>449</v>
      </c>
      <c r="K6" s="26" t="s">
        <v>463</v>
      </c>
    </row>
    <row r="7" spans="2:11" ht="27.75" customHeight="1" x14ac:dyDescent="0.25">
      <c r="B7" s="189" t="s">
        <v>14</v>
      </c>
      <c r="C7" s="189"/>
      <c r="D7" s="201" t="s">
        <v>578</v>
      </c>
      <c r="E7" s="201"/>
      <c r="F7" s="201"/>
      <c r="G7" s="201"/>
      <c r="H7" s="38" t="s">
        <v>16</v>
      </c>
      <c r="I7" s="89">
        <v>0.2354</v>
      </c>
      <c r="J7" s="200"/>
      <c r="K7" s="26" t="s">
        <v>464</v>
      </c>
    </row>
    <row r="8" spans="2:11" ht="33.75" x14ac:dyDescent="0.25">
      <c r="B8" s="189" t="s">
        <v>15</v>
      </c>
      <c r="C8" s="189"/>
      <c r="D8" s="202" t="s">
        <v>78</v>
      </c>
      <c r="E8" s="202"/>
      <c r="F8" s="202"/>
      <c r="G8" s="202"/>
      <c r="H8" s="38" t="s">
        <v>17</v>
      </c>
      <c r="I8" s="49">
        <f ca="1">TODAY()</f>
        <v>45693</v>
      </c>
      <c r="J8" s="50" t="s">
        <v>466</v>
      </c>
      <c r="K8" s="50" t="s">
        <v>465</v>
      </c>
    </row>
    <row r="9" spans="2:11" ht="12" customHeight="1" thickBot="1" x14ac:dyDescent="0.3">
      <c r="B9" s="181"/>
      <c r="C9" s="181"/>
      <c r="D9" s="181"/>
      <c r="E9" s="181"/>
      <c r="F9" s="181"/>
      <c r="G9" s="181"/>
      <c r="H9" s="181"/>
      <c r="I9" s="181"/>
      <c r="J9" s="181"/>
    </row>
    <row r="10" spans="2:11" ht="22.5" customHeight="1" x14ac:dyDescent="0.25">
      <c r="B10" s="183" t="s">
        <v>19</v>
      </c>
      <c r="C10" s="184"/>
      <c r="D10" s="184"/>
      <c r="E10" s="184"/>
      <c r="F10" s="184"/>
      <c r="G10" s="184"/>
      <c r="H10" s="184"/>
      <c r="I10" s="184"/>
      <c r="J10" s="184"/>
      <c r="K10" s="185"/>
    </row>
    <row r="11" spans="2:11" ht="22.5" customHeight="1" x14ac:dyDescent="0.25">
      <c r="B11" s="208" t="s">
        <v>3</v>
      </c>
      <c r="C11" s="190"/>
      <c r="D11" s="209" t="s">
        <v>1</v>
      </c>
      <c r="E11" s="209"/>
      <c r="F11" s="209"/>
      <c r="G11" s="209"/>
      <c r="H11" s="209"/>
      <c r="I11" s="37" t="s">
        <v>13</v>
      </c>
      <c r="J11" s="210" t="s">
        <v>18</v>
      </c>
      <c r="K11" s="211"/>
    </row>
    <row r="12" spans="2:11" ht="22.5" customHeight="1" x14ac:dyDescent="0.25">
      <c r="B12" s="188">
        <v>1</v>
      </c>
      <c r="C12" s="189"/>
      <c r="D12" s="207" t="str">
        <f>E25</f>
        <v>SERVIÇOS PRELIMINARES</v>
      </c>
      <c r="E12" s="207"/>
      <c r="F12" s="207"/>
      <c r="G12" s="207"/>
      <c r="H12" s="207"/>
      <c r="I12" s="38">
        <f>J25</f>
        <v>18167.97</v>
      </c>
      <c r="J12" s="186">
        <f t="shared" ref="J12:J21" si="0">I12/$I$22</f>
        <v>1.2099118314588436E-2</v>
      </c>
      <c r="K12" s="187"/>
    </row>
    <row r="13" spans="2:11" ht="34.5" customHeight="1" x14ac:dyDescent="0.25">
      <c r="B13" s="188">
        <v>2</v>
      </c>
      <c r="C13" s="189"/>
      <c r="D13" s="207" t="str">
        <f>E27</f>
        <v>ALVENARIA DE FECHAMENTO E ALVENARIA DE VEDAÇÃO</v>
      </c>
      <c r="E13" s="207"/>
      <c r="F13" s="207"/>
      <c r="G13" s="207"/>
      <c r="H13" s="207"/>
      <c r="I13" s="38">
        <f>J27</f>
        <v>12461.71</v>
      </c>
      <c r="J13" s="186">
        <f t="shared" si="0"/>
        <v>8.2989846247043478E-3</v>
      </c>
      <c r="K13" s="187"/>
    </row>
    <row r="14" spans="2:11" ht="22.5" customHeight="1" x14ac:dyDescent="0.25">
      <c r="B14" s="188">
        <v>3</v>
      </c>
      <c r="C14" s="189"/>
      <c r="D14" s="207" t="str">
        <f>E30</f>
        <v>ESQUADRIAS (PORTAS E JANELAS)</v>
      </c>
      <c r="E14" s="207"/>
      <c r="F14" s="207"/>
      <c r="G14" s="207"/>
      <c r="H14" s="207"/>
      <c r="I14" s="38">
        <f>J30</f>
        <v>224472.2</v>
      </c>
      <c r="J14" s="186">
        <f t="shared" si="0"/>
        <v>0.14948922230364528</v>
      </c>
      <c r="K14" s="187"/>
    </row>
    <row r="15" spans="2:11" ht="22.5" customHeight="1" x14ac:dyDescent="0.25">
      <c r="B15" s="188">
        <v>4</v>
      </c>
      <c r="C15" s="189"/>
      <c r="D15" s="207" t="str">
        <f>E53</f>
        <v xml:space="preserve">COBERTURA </v>
      </c>
      <c r="E15" s="207"/>
      <c r="F15" s="207"/>
      <c r="G15" s="207"/>
      <c r="H15" s="207"/>
      <c r="I15" s="38">
        <f>J53</f>
        <v>6230.4</v>
      </c>
      <c r="J15" s="186">
        <f t="shared" si="0"/>
        <v>4.149189301127852E-3</v>
      </c>
      <c r="K15" s="187"/>
    </row>
    <row r="16" spans="2:11" ht="22.5" customHeight="1" x14ac:dyDescent="0.25">
      <c r="B16" s="188">
        <v>5</v>
      </c>
      <c r="C16" s="189"/>
      <c r="D16" s="207" t="str">
        <f>E55</f>
        <v>INSTALAÇÕES HIDRÁULICAS</v>
      </c>
      <c r="E16" s="207"/>
      <c r="F16" s="207"/>
      <c r="G16" s="207"/>
      <c r="H16" s="207"/>
      <c r="I16" s="38">
        <f>J55</f>
        <v>218642.40000000002</v>
      </c>
      <c r="J16" s="186">
        <f t="shared" si="0"/>
        <v>0.14560681607166737</v>
      </c>
      <c r="K16" s="187"/>
    </row>
    <row r="17" spans="2:15" ht="22.5" customHeight="1" x14ac:dyDescent="0.25">
      <c r="B17" s="188">
        <v>6</v>
      </c>
      <c r="C17" s="189"/>
      <c r="D17" s="207" t="str">
        <f>E95</f>
        <v xml:space="preserve">INSTALAÇÕES ELÉTRICAS </v>
      </c>
      <c r="E17" s="207"/>
      <c r="F17" s="207"/>
      <c r="G17" s="207"/>
      <c r="H17" s="207"/>
      <c r="I17" s="38">
        <f>J95</f>
        <v>241259.6</v>
      </c>
      <c r="J17" s="186">
        <f t="shared" si="0"/>
        <v>0.16066893796776857</v>
      </c>
      <c r="K17" s="187"/>
    </row>
    <row r="18" spans="2:15" ht="22.5" customHeight="1" x14ac:dyDescent="0.25">
      <c r="B18" s="188">
        <v>7</v>
      </c>
      <c r="C18" s="189"/>
      <c r="D18" s="172" t="str">
        <f>E148</f>
        <v>REVESTIMENTOS</v>
      </c>
      <c r="E18" s="173"/>
      <c r="F18" s="173"/>
      <c r="G18" s="173"/>
      <c r="H18" s="174"/>
      <c r="I18" s="38">
        <f>J148</f>
        <v>724487.09000000008</v>
      </c>
      <c r="J18" s="186">
        <f t="shared" si="0"/>
        <v>0.4824785058155579</v>
      </c>
      <c r="K18" s="187"/>
    </row>
    <row r="19" spans="2:15" ht="22.5" customHeight="1" x14ac:dyDescent="0.25">
      <c r="B19" s="188">
        <v>8</v>
      </c>
      <c r="C19" s="189"/>
      <c r="D19" s="172" t="str">
        <f>E194</f>
        <v>PREVENÇÃO E COMBATE A INCÊNDIO E SPDA</v>
      </c>
      <c r="E19" s="173"/>
      <c r="F19" s="173"/>
      <c r="G19" s="173"/>
      <c r="H19" s="174"/>
      <c r="I19" s="38">
        <f>J194</f>
        <v>38702.810000000005</v>
      </c>
      <c r="J19" s="186">
        <f t="shared" si="0"/>
        <v>2.5774474379748342E-2</v>
      </c>
      <c r="K19" s="187"/>
    </row>
    <row r="20" spans="2:15" ht="22.5" customHeight="1" x14ac:dyDescent="0.25">
      <c r="B20" s="188">
        <v>9</v>
      </c>
      <c r="C20" s="189"/>
      <c r="D20" s="172" t="str">
        <f>E217</f>
        <v>COMUNICAÇÃO VISUAL E DIVERSOS</v>
      </c>
      <c r="E20" s="173"/>
      <c r="F20" s="173"/>
      <c r="G20" s="173"/>
      <c r="H20" s="174"/>
      <c r="I20" s="38">
        <f>J217</f>
        <v>3447.8599999999997</v>
      </c>
      <c r="J20" s="186">
        <f t="shared" si="0"/>
        <v>2.2961324832734137E-3</v>
      </c>
      <c r="K20" s="187"/>
    </row>
    <row r="21" spans="2:15" ht="22.5" customHeight="1" x14ac:dyDescent="0.25">
      <c r="B21" s="188">
        <v>10</v>
      </c>
      <c r="C21" s="189"/>
      <c r="D21" s="172" t="str">
        <f>E220</f>
        <v>LIMPEZA FINAL</v>
      </c>
      <c r="E21" s="173"/>
      <c r="F21" s="173"/>
      <c r="G21" s="173"/>
      <c r="H21" s="174"/>
      <c r="I21" s="38">
        <f>J220</f>
        <v>13722.5</v>
      </c>
      <c r="J21" s="191">
        <f t="shared" si="0"/>
        <v>9.1386187379184254E-3</v>
      </c>
      <c r="K21" s="192"/>
    </row>
    <row r="22" spans="2:15" ht="17.25" customHeight="1" thickBot="1" x14ac:dyDescent="0.3">
      <c r="B22" s="179" t="s">
        <v>20</v>
      </c>
      <c r="C22" s="180"/>
      <c r="D22" s="180"/>
      <c r="E22" s="180"/>
      <c r="F22" s="180"/>
      <c r="G22" s="180"/>
      <c r="H22" s="180"/>
      <c r="I22" s="39">
        <f>SUBTOTAL(9,I12:I21)</f>
        <v>1501594.5400000003</v>
      </c>
      <c r="J22" s="177">
        <f>SUM(J12:K21)</f>
        <v>1</v>
      </c>
      <c r="K22" s="178"/>
    </row>
    <row r="23" spans="2:15" ht="15" customHeight="1" thickBot="1" x14ac:dyDescent="0.3">
      <c r="B23" s="181"/>
      <c r="C23" s="181"/>
      <c r="D23" s="181"/>
      <c r="E23" s="181"/>
      <c r="F23" s="181"/>
      <c r="G23" s="181"/>
      <c r="H23" s="181"/>
      <c r="I23" s="181"/>
      <c r="J23" s="181"/>
      <c r="O23" s="1"/>
    </row>
    <row r="24" spans="2:15" ht="24" x14ac:dyDescent="0.25">
      <c r="B24" s="43" t="s">
        <v>3</v>
      </c>
      <c r="C24" s="182" t="s">
        <v>6</v>
      </c>
      <c r="D24" s="182"/>
      <c r="E24" s="44" t="s">
        <v>1</v>
      </c>
      <c r="F24" s="44" t="s">
        <v>9</v>
      </c>
      <c r="G24" s="45" t="s">
        <v>8</v>
      </c>
      <c r="H24" s="46" t="s">
        <v>7</v>
      </c>
      <c r="I24" s="46" t="s">
        <v>12</v>
      </c>
      <c r="J24" s="47" t="s">
        <v>13</v>
      </c>
      <c r="K24" s="48" t="s">
        <v>18</v>
      </c>
    </row>
    <row r="25" spans="2:15" ht="16.5" customHeight="1" x14ac:dyDescent="0.25">
      <c r="B25" s="190">
        <v>1</v>
      </c>
      <c r="C25" s="190"/>
      <c r="D25" s="190"/>
      <c r="E25" s="176" t="s">
        <v>2</v>
      </c>
      <c r="F25" s="176"/>
      <c r="G25" s="176"/>
      <c r="H25" s="176"/>
      <c r="I25" s="97" t="s">
        <v>22</v>
      </c>
      <c r="J25" s="98">
        <f>SUBTOTAL(9,J26:J26)</f>
        <v>18167.97</v>
      </c>
      <c r="K25" s="134">
        <f>J25/$I$22</f>
        <v>1.2099118314588436E-2</v>
      </c>
    </row>
    <row r="26" spans="2:15" ht="36" x14ac:dyDescent="0.25">
      <c r="B26" s="26" t="s">
        <v>471</v>
      </c>
      <c r="C26" s="26" t="s">
        <v>38</v>
      </c>
      <c r="D26" s="120" t="s">
        <v>80</v>
      </c>
      <c r="E26" s="104" t="s">
        <v>79</v>
      </c>
      <c r="F26" s="21" t="s">
        <v>9</v>
      </c>
      <c r="G26" s="30">
        <v>1</v>
      </c>
      <c r="H26" s="32">
        <v>14706.14</v>
      </c>
      <c r="I26" s="32">
        <f t="shared" ref="I26" si="1">ROUND(H26*(100%+$I$7),2)</f>
        <v>18167.97</v>
      </c>
      <c r="J26" s="32">
        <f t="shared" ref="J26" si="2">ROUND(I26*G26,2)</f>
        <v>18167.97</v>
      </c>
      <c r="K26" s="136">
        <f t="shared" ref="K26" si="3">J26/$I$22</f>
        <v>1.2099118314588436E-2</v>
      </c>
    </row>
    <row r="27" spans="2:15" x14ac:dyDescent="0.25">
      <c r="B27" s="175">
        <v>2</v>
      </c>
      <c r="C27" s="175"/>
      <c r="D27" s="175"/>
      <c r="E27" s="176" t="s">
        <v>221</v>
      </c>
      <c r="F27" s="176"/>
      <c r="G27" s="176"/>
      <c r="H27" s="176"/>
      <c r="I27" s="100" t="s">
        <v>22</v>
      </c>
      <c r="J27" s="98">
        <f>SUBTOTAL(9,J28:J29)</f>
        <v>12461.71</v>
      </c>
      <c r="K27" s="134">
        <f>J27/$I$22</f>
        <v>8.2989846247043478E-3</v>
      </c>
    </row>
    <row r="28" spans="2:15" ht="36" x14ac:dyDescent="0.25">
      <c r="B28" s="102" t="s">
        <v>472</v>
      </c>
      <c r="C28" s="103" t="s">
        <v>418</v>
      </c>
      <c r="D28" s="105">
        <v>96367</v>
      </c>
      <c r="E28" s="104" t="s">
        <v>432</v>
      </c>
      <c r="F28" s="101" t="s">
        <v>5</v>
      </c>
      <c r="G28" s="109">
        <v>6</v>
      </c>
      <c r="H28" s="110">
        <v>152.69999999999999</v>
      </c>
      <c r="I28" s="110">
        <f t="shared" ref="I28" si="4">ROUND(H28*(100%+$I$7),2)</f>
        <v>188.65</v>
      </c>
      <c r="J28" s="110">
        <f t="shared" ref="J28" si="5">ROUND(I28*G28,2)</f>
        <v>1131.9000000000001</v>
      </c>
      <c r="K28" s="136">
        <f t="shared" ref="K28" si="6">J28/$I$22</f>
        <v>7.5379869188922318E-4</v>
      </c>
    </row>
    <row r="29" spans="2:15" ht="24" x14ac:dyDescent="0.25">
      <c r="B29" s="102" t="s">
        <v>473</v>
      </c>
      <c r="C29" s="103" t="s">
        <v>418</v>
      </c>
      <c r="D29" s="105">
        <v>98522</v>
      </c>
      <c r="E29" s="104" t="s">
        <v>419</v>
      </c>
      <c r="F29" s="101" t="s">
        <v>5</v>
      </c>
      <c r="G29" s="109">
        <v>53</v>
      </c>
      <c r="H29" s="110">
        <v>173.04</v>
      </c>
      <c r="I29" s="110">
        <f t="shared" ref="I29" si="7">ROUND(H29*(100%+$I$7),2)</f>
        <v>213.77</v>
      </c>
      <c r="J29" s="110">
        <f t="shared" ref="J29" si="8">ROUND(I29*G29,2)</f>
        <v>11329.81</v>
      </c>
      <c r="K29" s="136">
        <f t="shared" ref="K29" si="9">J29/$I$22</f>
        <v>7.545185932815124E-3</v>
      </c>
    </row>
    <row r="30" spans="2:15" x14ac:dyDescent="0.25">
      <c r="B30" s="175">
        <v>3</v>
      </c>
      <c r="C30" s="175"/>
      <c r="D30" s="175"/>
      <c r="E30" s="176" t="s">
        <v>198</v>
      </c>
      <c r="F30" s="176"/>
      <c r="G30" s="176"/>
      <c r="H30" s="176"/>
      <c r="I30" s="100" t="s">
        <v>22</v>
      </c>
      <c r="J30" s="98">
        <f>SUBTOTAL(9,J31:J52)</f>
        <v>224472.2</v>
      </c>
      <c r="K30" s="134">
        <f>J30/$I$22</f>
        <v>0.14948922230364528</v>
      </c>
    </row>
    <row r="31" spans="2:15" ht="54.75" customHeight="1" x14ac:dyDescent="0.25">
      <c r="B31" s="102" t="s">
        <v>474</v>
      </c>
      <c r="C31" s="103" t="s">
        <v>10</v>
      </c>
      <c r="D31" s="105">
        <v>90842</v>
      </c>
      <c r="E31" s="104" t="s">
        <v>190</v>
      </c>
      <c r="F31" s="106" t="s">
        <v>85</v>
      </c>
      <c r="G31" s="109">
        <v>2</v>
      </c>
      <c r="H31" s="110">
        <v>1199.22</v>
      </c>
      <c r="I31" s="110">
        <f>ROUND(H31*(100%+$I$7),2)</f>
        <v>1481.52</v>
      </c>
      <c r="J31" s="110">
        <f>ROUND(I31*G31,2)</f>
        <v>2963.04</v>
      </c>
      <c r="K31" s="136">
        <f>J31/$I$22</f>
        <v>1.9732623694809115E-3</v>
      </c>
    </row>
    <row r="32" spans="2:15" ht="54.75" customHeight="1" x14ac:dyDescent="0.25">
      <c r="B32" s="102" t="s">
        <v>475</v>
      </c>
      <c r="C32" s="103" t="s">
        <v>10</v>
      </c>
      <c r="D32" s="105">
        <v>90843</v>
      </c>
      <c r="E32" s="104" t="s">
        <v>188</v>
      </c>
      <c r="F32" s="106" t="s">
        <v>85</v>
      </c>
      <c r="G32" s="109">
        <v>2</v>
      </c>
      <c r="H32" s="110">
        <v>1254.71</v>
      </c>
      <c r="I32" s="110">
        <f>ROUND(H32*(100%+$I$7),2)</f>
        <v>1550.07</v>
      </c>
      <c r="J32" s="110">
        <f>ROUND(I32*G32,2)</f>
        <v>3100.14</v>
      </c>
      <c r="K32" s="136">
        <f>J32/$I$22</f>
        <v>2.0645653120182493E-3</v>
      </c>
    </row>
    <row r="33" spans="2:11" ht="54.75" customHeight="1" x14ac:dyDescent="0.25">
      <c r="B33" s="102" t="s">
        <v>476</v>
      </c>
      <c r="C33" s="103" t="s">
        <v>10</v>
      </c>
      <c r="D33" s="105">
        <v>90844</v>
      </c>
      <c r="E33" s="104" t="s">
        <v>189</v>
      </c>
      <c r="F33" s="106" t="s">
        <v>85</v>
      </c>
      <c r="G33" s="109">
        <v>11</v>
      </c>
      <c r="H33" s="110">
        <v>1345.53</v>
      </c>
      <c r="I33" s="110">
        <f>ROUND(H33*(100%+$I$7),2)</f>
        <v>1662.27</v>
      </c>
      <c r="J33" s="110">
        <f>ROUND(I33*G33,2)</f>
        <v>18284.97</v>
      </c>
      <c r="K33" s="136">
        <f>J33/$I$22</f>
        <v>1.2177035486556843E-2</v>
      </c>
    </row>
    <row r="34" spans="2:11" ht="36" x14ac:dyDescent="0.25">
      <c r="B34" s="102" t="s">
        <v>417</v>
      </c>
      <c r="C34" s="103" t="s">
        <v>39</v>
      </c>
      <c r="D34" s="105" t="s">
        <v>191</v>
      </c>
      <c r="E34" s="104" t="s">
        <v>192</v>
      </c>
      <c r="F34" s="106" t="s">
        <v>85</v>
      </c>
      <c r="G34" s="109">
        <v>2</v>
      </c>
      <c r="H34" s="110">
        <v>803.64</v>
      </c>
      <c r="I34" s="110">
        <f t="shared" ref="I34:I52" si="10">ROUND(H34*(100%+$I$7),2)</f>
        <v>992.82</v>
      </c>
      <c r="J34" s="110">
        <f t="shared" ref="J34:J52" si="11">ROUND(I34*G34,2)</f>
        <v>1985.64</v>
      </c>
      <c r="K34" s="136">
        <f t="shared" ref="K34:K52" si="12">J34/$I$22</f>
        <v>1.3223543021140712E-3</v>
      </c>
    </row>
    <row r="35" spans="2:11" ht="48" x14ac:dyDescent="0.25">
      <c r="B35" s="102" t="s">
        <v>431</v>
      </c>
      <c r="C35" s="103" t="s">
        <v>39</v>
      </c>
      <c r="D35" s="105" t="s">
        <v>461</v>
      </c>
      <c r="E35" s="104" t="s">
        <v>193</v>
      </c>
      <c r="F35" s="106" t="s">
        <v>85</v>
      </c>
      <c r="G35" s="109">
        <v>1</v>
      </c>
      <c r="H35" s="110">
        <v>898.29</v>
      </c>
      <c r="I35" s="110">
        <f t="shared" ref="I35" si="13">ROUND(H35*(100%+$I$7),2)</f>
        <v>1109.75</v>
      </c>
      <c r="J35" s="110">
        <f t="shared" ref="J35" si="14">ROUND(I35*G35,2)</f>
        <v>1109.75</v>
      </c>
      <c r="K35" s="136">
        <f t="shared" ref="K35" si="15">J35/$I$22</f>
        <v>7.3904770591400775E-4</v>
      </c>
    </row>
    <row r="36" spans="2:11" ht="21" customHeight="1" x14ac:dyDescent="0.25">
      <c r="B36" s="102" t="s">
        <v>477</v>
      </c>
      <c r="C36" s="103" t="s">
        <v>39</v>
      </c>
      <c r="D36" s="103" t="s">
        <v>87</v>
      </c>
      <c r="E36" s="104" t="s">
        <v>253</v>
      </c>
      <c r="F36" s="106" t="s">
        <v>5</v>
      </c>
      <c r="G36" s="109">
        <f>(3*(0.9*2.1))+(1*(1*2.1))+(1*(1.2*2.1))+(3*(1.3*2.1))</f>
        <v>18.48</v>
      </c>
      <c r="H36" s="110">
        <v>150.47999999999999</v>
      </c>
      <c r="I36" s="110">
        <f t="shared" si="10"/>
        <v>185.9</v>
      </c>
      <c r="J36" s="110">
        <f t="shared" si="11"/>
        <v>3435.43</v>
      </c>
      <c r="K36" s="136">
        <f t="shared" si="12"/>
        <v>2.2878546162001887E-3</v>
      </c>
    </row>
    <row r="37" spans="2:11" ht="36" x14ac:dyDescent="0.25">
      <c r="B37" s="102" t="s">
        <v>478</v>
      </c>
      <c r="C37" s="103" t="s">
        <v>10</v>
      </c>
      <c r="D37" s="105">
        <v>39837</v>
      </c>
      <c r="E37" s="104" t="s">
        <v>254</v>
      </c>
      <c r="F37" s="106" t="s">
        <v>255</v>
      </c>
      <c r="G37" s="109">
        <v>8</v>
      </c>
      <c r="H37" s="110">
        <v>410.94</v>
      </c>
      <c r="I37" s="110">
        <f t="shared" si="10"/>
        <v>507.68</v>
      </c>
      <c r="J37" s="110">
        <f t="shared" si="11"/>
        <v>4061.44</v>
      </c>
      <c r="K37" s="136">
        <f t="shared" si="12"/>
        <v>2.7047514437552492E-3</v>
      </c>
    </row>
    <row r="38" spans="2:11" ht="24" x14ac:dyDescent="0.25">
      <c r="B38" s="102" t="s">
        <v>479</v>
      </c>
      <c r="C38" s="105" t="s">
        <v>10</v>
      </c>
      <c r="D38" s="105">
        <v>43605</v>
      </c>
      <c r="E38" s="104" t="s">
        <v>256</v>
      </c>
      <c r="F38" s="106" t="s">
        <v>32</v>
      </c>
      <c r="G38" s="109">
        <f>(3*0.9)+(1*1)+(1*1.2)+(1*1.3)</f>
        <v>6.2</v>
      </c>
      <c r="H38" s="110">
        <v>37.83</v>
      </c>
      <c r="I38" s="110">
        <f t="shared" si="10"/>
        <v>46.74</v>
      </c>
      <c r="J38" s="110">
        <f t="shared" si="11"/>
        <v>289.79000000000002</v>
      </c>
      <c r="K38" s="136">
        <f t="shared" si="12"/>
        <v>1.9298818174978179E-4</v>
      </c>
    </row>
    <row r="39" spans="2:11" ht="36" x14ac:dyDescent="0.25">
      <c r="B39" s="102" t="s">
        <v>480</v>
      </c>
      <c r="C39" s="103" t="s">
        <v>10</v>
      </c>
      <c r="D39" s="105">
        <v>43613</v>
      </c>
      <c r="E39" s="104" t="s">
        <v>257</v>
      </c>
      <c r="F39" s="106" t="s">
        <v>258</v>
      </c>
      <c r="G39" s="109">
        <f>G37</f>
        <v>8</v>
      </c>
      <c r="H39" s="110">
        <v>94</v>
      </c>
      <c r="I39" s="110">
        <f t="shared" si="10"/>
        <v>116.13</v>
      </c>
      <c r="J39" s="110">
        <f t="shared" si="11"/>
        <v>929.04</v>
      </c>
      <c r="K39" s="136">
        <f t="shared" si="12"/>
        <v>6.1870230295323254E-4</v>
      </c>
    </row>
    <row r="40" spans="2:11" x14ac:dyDescent="0.25">
      <c r="B40" s="102" t="s">
        <v>481</v>
      </c>
      <c r="C40" s="103" t="s">
        <v>39</v>
      </c>
      <c r="D40" s="105" t="s">
        <v>259</v>
      </c>
      <c r="E40" s="104" t="s">
        <v>260</v>
      </c>
      <c r="F40" s="106" t="s">
        <v>5</v>
      </c>
      <c r="G40" s="109">
        <f>1.8*2.1</f>
        <v>3.7800000000000002</v>
      </c>
      <c r="H40" s="110">
        <v>505.74</v>
      </c>
      <c r="I40" s="110">
        <f t="shared" si="10"/>
        <v>624.79</v>
      </c>
      <c r="J40" s="110">
        <f t="shared" si="11"/>
        <v>2361.71</v>
      </c>
      <c r="K40" s="136">
        <f t="shared" si="12"/>
        <v>1.5728014035000417E-3</v>
      </c>
    </row>
    <row r="41" spans="2:11" x14ac:dyDescent="0.25">
      <c r="B41" s="102" t="s">
        <v>482</v>
      </c>
      <c r="C41" s="103" t="s">
        <v>39</v>
      </c>
      <c r="D41" s="103" t="s">
        <v>87</v>
      </c>
      <c r="E41" s="104" t="s">
        <v>253</v>
      </c>
      <c r="F41" s="106" t="s">
        <v>5</v>
      </c>
      <c r="G41" s="109">
        <f>(2*(1.9*2.1))</f>
        <v>7.9799999999999995</v>
      </c>
      <c r="H41" s="110">
        <v>150.47999999999999</v>
      </c>
      <c r="I41" s="110">
        <f t="shared" si="10"/>
        <v>185.9</v>
      </c>
      <c r="J41" s="110">
        <f t="shared" si="11"/>
        <v>1483.48</v>
      </c>
      <c r="K41" s="136">
        <f t="shared" si="12"/>
        <v>9.8793646386061032E-4</v>
      </c>
    </row>
    <row r="42" spans="2:11" ht="48" x14ac:dyDescent="0.25">
      <c r="B42" s="102" t="s">
        <v>483</v>
      </c>
      <c r="C42" s="103" t="s">
        <v>10</v>
      </c>
      <c r="D42" s="105">
        <v>183</v>
      </c>
      <c r="E42" s="104" t="s">
        <v>261</v>
      </c>
      <c r="F42" s="106" t="s">
        <v>255</v>
      </c>
      <c r="G42" s="109">
        <v>2</v>
      </c>
      <c r="H42" s="110">
        <v>255</v>
      </c>
      <c r="I42" s="110">
        <f t="shared" si="10"/>
        <v>315.02999999999997</v>
      </c>
      <c r="J42" s="110">
        <f t="shared" si="11"/>
        <v>630.05999999999995</v>
      </c>
      <c r="K42" s="136">
        <f t="shared" si="12"/>
        <v>4.1959396043088956E-4</v>
      </c>
    </row>
    <row r="43" spans="2:11" ht="29.25" customHeight="1" x14ac:dyDescent="0.25">
      <c r="B43" s="102" t="s">
        <v>484</v>
      </c>
      <c r="C43" s="103" t="s">
        <v>39</v>
      </c>
      <c r="D43" s="105" t="s">
        <v>88</v>
      </c>
      <c r="E43" s="104" t="s">
        <v>262</v>
      </c>
      <c r="F43" s="101" t="s">
        <v>83</v>
      </c>
      <c r="G43" s="109">
        <v>1</v>
      </c>
      <c r="H43" s="110">
        <v>114.51</v>
      </c>
      <c r="I43" s="110">
        <f t="shared" si="10"/>
        <v>141.47</v>
      </c>
      <c r="J43" s="110">
        <f t="shared" si="11"/>
        <v>141.47</v>
      </c>
      <c r="K43" s="136">
        <f t="shared" si="12"/>
        <v>9.4213182208294379E-5</v>
      </c>
    </row>
    <row r="44" spans="2:11" x14ac:dyDescent="0.25">
      <c r="B44" s="102" t="s">
        <v>485</v>
      </c>
      <c r="C44" s="103" t="s">
        <v>39</v>
      </c>
      <c r="D44" s="105" t="s">
        <v>89</v>
      </c>
      <c r="E44" s="104" t="s">
        <v>263</v>
      </c>
      <c r="F44" s="101" t="s">
        <v>83</v>
      </c>
      <c r="G44" s="109">
        <v>1</v>
      </c>
      <c r="H44" s="110">
        <v>79.75</v>
      </c>
      <c r="I44" s="110">
        <f t="shared" si="10"/>
        <v>98.52</v>
      </c>
      <c r="J44" s="110">
        <f t="shared" si="11"/>
        <v>98.52</v>
      </c>
      <c r="K44" s="136">
        <f t="shared" si="12"/>
        <v>6.5610254549806747E-5</v>
      </c>
    </row>
    <row r="45" spans="2:11" x14ac:dyDescent="0.25">
      <c r="B45" s="102" t="s">
        <v>486</v>
      </c>
      <c r="C45" s="103" t="s">
        <v>39</v>
      </c>
      <c r="D45" s="105" t="s">
        <v>90</v>
      </c>
      <c r="E45" s="104" t="s">
        <v>264</v>
      </c>
      <c r="F45" s="101" t="s">
        <v>83</v>
      </c>
      <c r="G45" s="109">
        <v>1</v>
      </c>
      <c r="H45" s="110">
        <v>226.47</v>
      </c>
      <c r="I45" s="110">
        <f t="shared" si="10"/>
        <v>279.77999999999997</v>
      </c>
      <c r="J45" s="110">
        <f t="shared" si="11"/>
        <v>279.77999999999997</v>
      </c>
      <c r="K45" s="136">
        <f t="shared" si="12"/>
        <v>1.8632193481470699E-4</v>
      </c>
    </row>
    <row r="46" spans="2:11" x14ac:dyDescent="0.25">
      <c r="B46" s="102" t="s">
        <v>487</v>
      </c>
      <c r="C46" s="103" t="s">
        <v>39</v>
      </c>
      <c r="D46" s="105" t="s">
        <v>91</v>
      </c>
      <c r="E46" s="104" t="s">
        <v>265</v>
      </c>
      <c r="F46" s="101" t="s">
        <v>83</v>
      </c>
      <c r="G46" s="109">
        <v>1</v>
      </c>
      <c r="H46" s="110">
        <v>187.42</v>
      </c>
      <c r="I46" s="110">
        <f t="shared" si="10"/>
        <v>231.54</v>
      </c>
      <c r="J46" s="110">
        <f t="shared" si="11"/>
        <v>231.54</v>
      </c>
      <c r="K46" s="136">
        <f t="shared" si="12"/>
        <v>1.5419608544927179E-4</v>
      </c>
    </row>
    <row r="47" spans="2:11" ht="36" x14ac:dyDescent="0.25">
      <c r="B47" s="102" t="s">
        <v>488</v>
      </c>
      <c r="C47" s="103" t="s">
        <v>10</v>
      </c>
      <c r="D47" s="105">
        <v>94569</v>
      </c>
      <c r="E47" s="104" t="s">
        <v>266</v>
      </c>
      <c r="F47" s="101" t="s">
        <v>5</v>
      </c>
      <c r="G47" s="109">
        <f>(5*(0.7*0.9))+(2*(0.75*0.9))+(2*(1*0.9))+(3*(1.2*0.5))+(6*(1.2*0.9))+(1*(1.5*0.5))+(2*(1.5*0.5))+(15*(2*0.9))+(1*(2*0.5))</f>
        <v>44.83</v>
      </c>
      <c r="H47" s="110">
        <v>723.5</v>
      </c>
      <c r="I47" s="110">
        <f t="shared" si="10"/>
        <v>893.81</v>
      </c>
      <c r="J47" s="110">
        <f t="shared" si="11"/>
        <v>40069.5</v>
      </c>
      <c r="K47" s="136">
        <f t="shared" si="12"/>
        <v>2.6684633522974847E-2</v>
      </c>
    </row>
    <row r="48" spans="2:11" ht="48" x14ac:dyDescent="0.25">
      <c r="B48" s="102" t="s">
        <v>489</v>
      </c>
      <c r="C48" s="103" t="s">
        <v>10</v>
      </c>
      <c r="D48" s="105">
        <v>94573</v>
      </c>
      <c r="E48" s="104" t="s">
        <v>267</v>
      </c>
      <c r="F48" s="101" t="s">
        <v>5</v>
      </c>
      <c r="G48" s="109">
        <f>(2*(2*1.2))+(2*(2*1))</f>
        <v>8.8000000000000007</v>
      </c>
      <c r="H48" s="110">
        <v>433.81</v>
      </c>
      <c r="I48" s="110">
        <f t="shared" si="10"/>
        <v>535.92999999999995</v>
      </c>
      <c r="J48" s="110">
        <f t="shared" si="11"/>
        <v>4716.18</v>
      </c>
      <c r="K48" s="136">
        <f t="shared" si="12"/>
        <v>3.1407812657603291E-3</v>
      </c>
    </row>
    <row r="49" spans="2:11" ht="36" x14ac:dyDescent="0.25">
      <c r="B49" s="102" t="s">
        <v>490</v>
      </c>
      <c r="C49" s="103" t="s">
        <v>10</v>
      </c>
      <c r="D49" s="105">
        <v>100674</v>
      </c>
      <c r="E49" s="104" t="s">
        <v>268</v>
      </c>
      <c r="F49" s="101" t="s">
        <v>269</v>
      </c>
      <c r="G49" s="109">
        <f>(2*(2.75*2.6))</f>
        <v>14.3</v>
      </c>
      <c r="H49" s="110">
        <v>770.43</v>
      </c>
      <c r="I49" s="110">
        <f t="shared" si="10"/>
        <v>951.79</v>
      </c>
      <c r="J49" s="110">
        <f t="shared" si="11"/>
        <v>13610.6</v>
      </c>
      <c r="K49" s="136">
        <f t="shared" si="12"/>
        <v>9.0640979554973602E-3</v>
      </c>
    </row>
    <row r="50" spans="2:11" x14ac:dyDescent="0.25">
      <c r="B50" s="102" t="s">
        <v>491</v>
      </c>
      <c r="C50" s="103" t="s">
        <v>39</v>
      </c>
      <c r="D50" s="105" t="s">
        <v>270</v>
      </c>
      <c r="E50" s="104" t="s">
        <v>278</v>
      </c>
      <c r="F50" s="101" t="s">
        <v>5</v>
      </c>
      <c r="G50" s="109">
        <f>(1*(1.8*2.2))+(3*(4*2.2))+(1*(10*2.2))</f>
        <v>52.36</v>
      </c>
      <c r="H50" s="110">
        <v>776.41</v>
      </c>
      <c r="I50" s="110">
        <f t="shared" si="10"/>
        <v>959.18</v>
      </c>
      <c r="J50" s="110">
        <f t="shared" si="11"/>
        <v>50222.66</v>
      </c>
      <c r="K50" s="136">
        <f t="shared" si="12"/>
        <v>3.3446219110519669E-2</v>
      </c>
    </row>
    <row r="51" spans="2:11" ht="24" x14ac:dyDescent="0.25">
      <c r="B51" s="102" t="s">
        <v>492</v>
      </c>
      <c r="C51" s="103" t="s">
        <v>39</v>
      </c>
      <c r="D51" s="105" t="s">
        <v>92</v>
      </c>
      <c r="E51" s="104" t="s">
        <v>271</v>
      </c>
      <c r="F51" s="101" t="s">
        <v>5</v>
      </c>
      <c r="G51" s="109">
        <f>G47+G48</f>
        <v>53.629999999999995</v>
      </c>
      <c r="H51" s="110">
        <v>1075.92</v>
      </c>
      <c r="I51" s="110">
        <f t="shared" si="10"/>
        <v>1329.19</v>
      </c>
      <c r="J51" s="110">
        <f t="shared" si="11"/>
        <v>71284.460000000006</v>
      </c>
      <c r="K51" s="136">
        <f t="shared" si="12"/>
        <v>4.7472508790555402E-2</v>
      </c>
    </row>
    <row r="52" spans="2:11" ht="21" customHeight="1" x14ac:dyDescent="0.25">
      <c r="B52" s="102" t="s">
        <v>493</v>
      </c>
      <c r="C52" s="103" t="s">
        <v>39</v>
      </c>
      <c r="D52" s="105" t="s">
        <v>273</v>
      </c>
      <c r="E52" s="104" t="s">
        <v>272</v>
      </c>
      <c r="F52" s="101" t="s">
        <v>5</v>
      </c>
      <c r="G52" s="109">
        <f>1*3</f>
        <v>3</v>
      </c>
      <c r="H52" s="110">
        <v>858.83</v>
      </c>
      <c r="I52" s="110">
        <f t="shared" si="10"/>
        <v>1061</v>
      </c>
      <c r="J52" s="110">
        <f t="shared" si="11"/>
        <v>3183</v>
      </c>
      <c r="K52" s="136">
        <f t="shared" si="12"/>
        <v>2.1197466527815155E-3</v>
      </c>
    </row>
    <row r="53" spans="2:11" x14ac:dyDescent="0.25">
      <c r="B53" s="175">
        <v>4</v>
      </c>
      <c r="C53" s="175"/>
      <c r="D53" s="175"/>
      <c r="E53" s="176" t="s">
        <v>182</v>
      </c>
      <c r="F53" s="176"/>
      <c r="G53" s="176"/>
      <c r="H53" s="176"/>
      <c r="I53" s="100" t="s">
        <v>22</v>
      </c>
      <c r="J53" s="98">
        <f>SUBTOTAL(9,J54:J54)</f>
        <v>6230.4</v>
      </c>
      <c r="K53" s="134">
        <f>J53/$I$22</f>
        <v>4.149189301127852E-3</v>
      </c>
    </row>
    <row r="54" spans="2:11" x14ac:dyDescent="0.25">
      <c r="B54" s="102" t="s">
        <v>181</v>
      </c>
      <c r="C54" s="131" t="s">
        <v>39</v>
      </c>
      <c r="D54" s="131" t="s">
        <v>93</v>
      </c>
      <c r="E54" s="132" t="s">
        <v>94</v>
      </c>
      <c r="F54" s="101" t="s">
        <v>5</v>
      </c>
      <c r="G54" s="109">
        <v>20</v>
      </c>
      <c r="H54" s="110">
        <v>252.16</v>
      </c>
      <c r="I54" s="110">
        <f t="shared" ref="I54" si="16">ROUND(H54*(100%+$I$7),2)</f>
        <v>311.52</v>
      </c>
      <c r="J54" s="110">
        <f t="shared" ref="J54" si="17">ROUND(I54*G54,2)</f>
        <v>6230.4</v>
      </c>
      <c r="K54" s="136">
        <f t="shared" ref="K54" si="18">J54/$I$22</f>
        <v>4.149189301127852E-3</v>
      </c>
    </row>
    <row r="55" spans="2:11" x14ac:dyDescent="0.25">
      <c r="B55" s="175">
        <v>5</v>
      </c>
      <c r="C55" s="175"/>
      <c r="D55" s="175"/>
      <c r="E55" s="176" t="s">
        <v>95</v>
      </c>
      <c r="F55" s="176"/>
      <c r="G55" s="176"/>
      <c r="H55" s="176"/>
      <c r="I55" s="100" t="s">
        <v>22</v>
      </c>
      <c r="J55" s="98">
        <f>SUBTOTAL(9,J56:J94)</f>
        <v>218642.40000000002</v>
      </c>
      <c r="K55" s="134">
        <f>J55/$I$22</f>
        <v>0.14560681607166737</v>
      </c>
    </row>
    <row r="56" spans="2:11" x14ac:dyDescent="0.25">
      <c r="B56" s="157" t="s">
        <v>183</v>
      </c>
      <c r="C56" s="157"/>
      <c r="D56" s="157"/>
      <c r="E56" s="158" t="s">
        <v>96</v>
      </c>
      <c r="F56" s="158"/>
      <c r="G56" s="158"/>
      <c r="H56" s="158"/>
      <c r="I56" s="158"/>
      <c r="J56" s="99">
        <f>SUBTOTAL(9,J57:J58)</f>
        <v>354.95</v>
      </c>
      <c r="K56" s="135">
        <f>J56/$I$22</f>
        <v>2.3638205290757113E-4</v>
      </c>
    </row>
    <row r="57" spans="2:11" ht="24" x14ac:dyDescent="0.25">
      <c r="B57" s="102" t="s">
        <v>494</v>
      </c>
      <c r="C57" s="103" t="s">
        <v>10</v>
      </c>
      <c r="D57" s="105">
        <v>89987</v>
      </c>
      <c r="E57" s="104" t="s">
        <v>97</v>
      </c>
      <c r="F57" s="106" t="s">
        <v>85</v>
      </c>
      <c r="G57" s="109">
        <v>1</v>
      </c>
      <c r="H57" s="110">
        <v>82.62</v>
      </c>
      <c r="I57" s="110">
        <f t="shared" ref="I57:I58" si="19">ROUND(H57*(100%+$I$7),2)</f>
        <v>102.07</v>
      </c>
      <c r="J57" s="110">
        <f t="shared" ref="J57:J58" si="20">ROUND(I57*G57,2)</f>
        <v>102.07</v>
      </c>
      <c r="K57" s="136">
        <f t="shared" ref="K57:K58" si="21">J57/$I$22</f>
        <v>6.7974408058249852E-5</v>
      </c>
    </row>
    <row r="58" spans="2:11" ht="24" x14ac:dyDescent="0.25">
      <c r="B58" s="102" t="s">
        <v>495</v>
      </c>
      <c r="C58" s="103" t="s">
        <v>10</v>
      </c>
      <c r="D58" s="105">
        <v>89972</v>
      </c>
      <c r="E58" s="104" t="s">
        <v>98</v>
      </c>
      <c r="F58" s="106" t="s">
        <v>85</v>
      </c>
      <c r="G58" s="109">
        <v>4</v>
      </c>
      <c r="H58" s="110">
        <v>51.17</v>
      </c>
      <c r="I58" s="110">
        <f t="shared" si="19"/>
        <v>63.22</v>
      </c>
      <c r="J58" s="110">
        <f t="shared" si="20"/>
        <v>252.88</v>
      </c>
      <c r="K58" s="136">
        <f t="shared" si="21"/>
        <v>1.6840764484932127E-4</v>
      </c>
    </row>
    <row r="59" spans="2:11" x14ac:dyDescent="0.25">
      <c r="B59" s="157" t="s">
        <v>184</v>
      </c>
      <c r="C59" s="157"/>
      <c r="D59" s="157"/>
      <c r="E59" s="158" t="s">
        <v>200</v>
      </c>
      <c r="F59" s="158"/>
      <c r="G59" s="158"/>
      <c r="H59" s="158"/>
      <c r="I59" s="158"/>
      <c r="J59" s="99">
        <f>SUBTOTAL(9,J60:J62)</f>
        <v>33338.1</v>
      </c>
      <c r="K59" s="135">
        <f>J59/$I$22</f>
        <v>2.2201798895725867E-2</v>
      </c>
    </row>
    <row r="60" spans="2:11" x14ac:dyDescent="0.25">
      <c r="B60" s="102" t="s">
        <v>496</v>
      </c>
      <c r="C60" s="103" t="s">
        <v>41</v>
      </c>
      <c r="D60" s="122" t="s">
        <v>99</v>
      </c>
      <c r="E60" s="107" t="s">
        <v>100</v>
      </c>
      <c r="F60" s="101" t="s">
        <v>32</v>
      </c>
      <c r="G60" s="109">
        <v>50</v>
      </c>
      <c r="H60" s="110">
        <v>170.45</v>
      </c>
      <c r="I60" s="110">
        <f>H60</f>
        <v>170.45</v>
      </c>
      <c r="J60" s="110">
        <f t="shared" ref="J60" si="22">ROUND(I60*G60,2)</f>
        <v>8522.5</v>
      </c>
      <c r="K60" s="136">
        <f t="shared" ref="K60" si="23">J60/$I$22</f>
        <v>5.6756333171003662E-3</v>
      </c>
    </row>
    <row r="61" spans="2:11" x14ac:dyDescent="0.25">
      <c r="B61" s="102" t="s">
        <v>497</v>
      </c>
      <c r="C61" s="103" t="s">
        <v>39</v>
      </c>
      <c r="D61" s="26" t="s">
        <v>223</v>
      </c>
      <c r="E61" s="129" t="s">
        <v>222</v>
      </c>
      <c r="F61" s="101" t="s">
        <v>5</v>
      </c>
      <c r="G61" s="109">
        <f>50*0.3</f>
        <v>15</v>
      </c>
      <c r="H61" s="110">
        <v>1058.31</v>
      </c>
      <c r="I61" s="110">
        <f t="shared" ref="I61" si="24">ROUND(H61*(100%+$I$7),2)</f>
        <v>1307.44</v>
      </c>
      <c r="J61" s="110">
        <f t="shared" ref="J61" si="25">ROUND(I61*G61,2)</f>
        <v>19611.599999999999</v>
      </c>
      <c r="K61" s="136">
        <f t="shared" ref="K61" si="26">J61/$I$22</f>
        <v>1.3060516322868353E-2</v>
      </c>
    </row>
    <row r="62" spans="2:11" ht="48" x14ac:dyDescent="0.25">
      <c r="B62" s="102" t="s">
        <v>498</v>
      </c>
      <c r="C62" s="130" t="s">
        <v>10</v>
      </c>
      <c r="D62" s="103">
        <v>92210</v>
      </c>
      <c r="E62" s="107" t="s">
        <v>451</v>
      </c>
      <c r="F62" s="101" t="s">
        <v>32</v>
      </c>
      <c r="G62" s="109">
        <v>25</v>
      </c>
      <c r="H62" s="110">
        <v>168.5</v>
      </c>
      <c r="I62" s="110">
        <f t="shared" ref="I62" si="27">ROUND(H62*(100%+$I$7),2)</f>
        <v>208.16</v>
      </c>
      <c r="J62" s="110">
        <f t="shared" ref="J62" si="28">ROUND(I62*G62,2)</f>
        <v>5204</v>
      </c>
      <c r="K62" s="136">
        <f t="shared" ref="K62" si="29">J62/$I$22</f>
        <v>3.4656492557571493E-3</v>
      </c>
    </row>
    <row r="63" spans="2:11" ht="27.75" customHeight="1" x14ac:dyDescent="0.25">
      <c r="B63" s="157" t="s">
        <v>185</v>
      </c>
      <c r="C63" s="157"/>
      <c r="D63" s="157"/>
      <c r="E63" s="158" t="s">
        <v>101</v>
      </c>
      <c r="F63" s="158"/>
      <c r="G63" s="158"/>
      <c r="H63" s="158"/>
      <c r="I63" s="158"/>
      <c r="J63" s="99">
        <f>SUBTOTAL(9,J64:J81)</f>
        <v>84067.639999999985</v>
      </c>
      <c r="K63" s="135">
        <f>J63/$I$22</f>
        <v>5.5985579169727115E-2</v>
      </c>
    </row>
    <row r="64" spans="2:11" ht="24" x14ac:dyDescent="0.25">
      <c r="B64" s="102" t="s">
        <v>499</v>
      </c>
      <c r="C64" s="103" t="s">
        <v>10</v>
      </c>
      <c r="D64" s="105">
        <v>95469</v>
      </c>
      <c r="E64" s="104" t="s">
        <v>102</v>
      </c>
      <c r="F64" s="106" t="s">
        <v>85</v>
      </c>
      <c r="G64" s="109">
        <v>4</v>
      </c>
      <c r="H64" s="110">
        <v>292.81</v>
      </c>
      <c r="I64" s="110">
        <f t="shared" ref="I64:I87" si="30">ROUND(H64*(100%+$I$7),2)</f>
        <v>361.74</v>
      </c>
      <c r="J64" s="110">
        <f t="shared" ref="J64" si="31">ROUND(I64*G64,2)</f>
        <v>1446.96</v>
      </c>
      <c r="K64" s="136">
        <f t="shared" ref="K64" si="32">J64/$I$22</f>
        <v>9.6361565086671114E-4</v>
      </c>
    </row>
    <row r="65" spans="2:11" ht="24" x14ac:dyDescent="0.25">
      <c r="B65" s="102" t="s">
        <v>500</v>
      </c>
      <c r="C65" s="103" t="s">
        <v>10</v>
      </c>
      <c r="D65" s="105">
        <v>99635</v>
      </c>
      <c r="E65" s="104" t="s">
        <v>103</v>
      </c>
      <c r="F65" s="106" t="s">
        <v>85</v>
      </c>
      <c r="G65" s="109">
        <v>1</v>
      </c>
      <c r="H65" s="110">
        <v>433.36</v>
      </c>
      <c r="I65" s="110">
        <f t="shared" si="30"/>
        <v>535.37</v>
      </c>
      <c r="J65" s="110">
        <f t="shared" ref="J65:J87" si="33">ROUND(I65*G65,2)</f>
        <v>535.37</v>
      </c>
      <c r="K65" s="136">
        <f t="shared" ref="K65:K87" si="34">J65/$I$22</f>
        <v>3.5653432783526229E-4</v>
      </c>
    </row>
    <row r="66" spans="2:11" x14ac:dyDescent="0.25">
      <c r="B66" s="102" t="s">
        <v>501</v>
      </c>
      <c r="C66" s="103" t="s">
        <v>39</v>
      </c>
      <c r="D66" s="105" t="s">
        <v>104</v>
      </c>
      <c r="E66" s="104" t="s">
        <v>105</v>
      </c>
      <c r="F66" s="106" t="s">
        <v>85</v>
      </c>
      <c r="G66" s="109">
        <v>24</v>
      </c>
      <c r="H66" s="110">
        <v>584.23</v>
      </c>
      <c r="I66" s="110">
        <f t="shared" si="30"/>
        <v>721.76</v>
      </c>
      <c r="J66" s="110">
        <f t="shared" si="33"/>
        <v>17322.240000000002</v>
      </c>
      <c r="K66" s="136">
        <f t="shared" si="34"/>
        <v>1.1535897033829118E-2</v>
      </c>
    </row>
    <row r="67" spans="2:11" x14ac:dyDescent="0.25">
      <c r="B67" s="102" t="s">
        <v>502</v>
      </c>
      <c r="C67" s="103" t="s">
        <v>41</v>
      </c>
      <c r="D67" s="105" t="s">
        <v>106</v>
      </c>
      <c r="E67" s="104" t="s">
        <v>107</v>
      </c>
      <c r="F67" s="106" t="s">
        <v>85</v>
      </c>
      <c r="G67" s="109">
        <v>19</v>
      </c>
      <c r="H67" s="110">
        <v>763.27</v>
      </c>
      <c r="I67" s="110">
        <f>H67</f>
        <v>763.27</v>
      </c>
      <c r="J67" s="110">
        <f t="shared" si="33"/>
        <v>14502.13</v>
      </c>
      <c r="K67" s="136">
        <f t="shared" si="34"/>
        <v>9.6578201463092678E-3</v>
      </c>
    </row>
    <row r="68" spans="2:11" x14ac:dyDescent="0.25">
      <c r="B68" s="102" t="s">
        <v>503</v>
      </c>
      <c r="C68" s="103" t="s">
        <v>39</v>
      </c>
      <c r="D68" s="105" t="s">
        <v>35</v>
      </c>
      <c r="E68" s="104" t="s">
        <v>108</v>
      </c>
      <c r="F68" s="106" t="s">
        <v>85</v>
      </c>
      <c r="G68" s="109">
        <f>G66</f>
        <v>24</v>
      </c>
      <c r="H68" s="110">
        <v>65.97</v>
      </c>
      <c r="I68" s="110">
        <f t="shared" si="30"/>
        <v>81.5</v>
      </c>
      <c r="J68" s="110">
        <f t="shared" si="33"/>
        <v>1956</v>
      </c>
      <c r="K68" s="136">
        <f t="shared" si="34"/>
        <v>1.3026152852154082E-3</v>
      </c>
    </row>
    <row r="69" spans="2:11" x14ac:dyDescent="0.25">
      <c r="B69" s="102" t="s">
        <v>504</v>
      </c>
      <c r="C69" s="103" t="s">
        <v>39</v>
      </c>
      <c r="D69" s="105" t="s">
        <v>109</v>
      </c>
      <c r="E69" s="104" t="s">
        <v>110</v>
      </c>
      <c r="F69" s="106" t="s">
        <v>85</v>
      </c>
      <c r="G69" s="109">
        <f>G66</f>
        <v>24</v>
      </c>
      <c r="H69" s="110">
        <v>72.540000000000006</v>
      </c>
      <c r="I69" s="110">
        <f t="shared" si="30"/>
        <v>89.62</v>
      </c>
      <c r="J69" s="110">
        <f t="shared" si="33"/>
        <v>2150.88</v>
      </c>
      <c r="K69" s="136">
        <f t="shared" si="34"/>
        <v>1.4323973234479127E-3</v>
      </c>
    </row>
    <row r="70" spans="2:11" x14ac:dyDescent="0.25">
      <c r="B70" s="102" t="s">
        <v>505</v>
      </c>
      <c r="C70" s="103" t="s">
        <v>39</v>
      </c>
      <c r="D70" s="105" t="s">
        <v>36</v>
      </c>
      <c r="E70" s="104" t="s">
        <v>111</v>
      </c>
      <c r="F70" s="106" t="s">
        <v>85</v>
      </c>
      <c r="G70" s="109">
        <f>G64</f>
        <v>4</v>
      </c>
      <c r="H70" s="110">
        <v>77.55</v>
      </c>
      <c r="I70" s="110">
        <f t="shared" si="30"/>
        <v>95.81</v>
      </c>
      <c r="J70" s="110">
        <f t="shared" si="33"/>
        <v>383.24</v>
      </c>
      <c r="K70" s="136">
        <f t="shared" si="34"/>
        <v>2.5522202551429092E-4</v>
      </c>
    </row>
    <row r="71" spans="2:11" x14ac:dyDescent="0.25">
      <c r="B71" s="102" t="s">
        <v>506</v>
      </c>
      <c r="C71" s="103" t="s">
        <v>39</v>
      </c>
      <c r="D71" s="105" t="s">
        <v>112</v>
      </c>
      <c r="E71" s="104" t="s">
        <v>113</v>
      </c>
      <c r="F71" s="106" t="s">
        <v>32</v>
      </c>
      <c r="G71" s="109">
        <v>2</v>
      </c>
      <c r="H71" s="110">
        <v>1826.44</v>
      </c>
      <c r="I71" s="110">
        <f t="shared" si="30"/>
        <v>2256.38</v>
      </c>
      <c r="J71" s="110">
        <f t="shared" si="33"/>
        <v>4512.76</v>
      </c>
      <c r="K71" s="136">
        <f t="shared" si="34"/>
        <v>3.005311939932866E-3</v>
      </c>
    </row>
    <row r="72" spans="2:11" x14ac:dyDescent="0.25">
      <c r="B72" s="102" t="s">
        <v>507</v>
      </c>
      <c r="C72" s="103" t="s">
        <v>39</v>
      </c>
      <c r="D72" s="105" t="s">
        <v>393</v>
      </c>
      <c r="E72" s="104" t="s">
        <v>392</v>
      </c>
      <c r="F72" s="101" t="s">
        <v>5</v>
      </c>
      <c r="G72" s="109">
        <f>5</f>
        <v>5</v>
      </c>
      <c r="H72" s="110">
        <v>590.34</v>
      </c>
      <c r="I72" s="110">
        <f t="shared" si="30"/>
        <v>729.31</v>
      </c>
      <c r="J72" s="110">
        <f t="shared" si="33"/>
        <v>3646.55</v>
      </c>
      <c r="K72" s="136">
        <f t="shared" si="34"/>
        <v>2.4284518242854024E-3</v>
      </c>
    </row>
    <row r="73" spans="2:11" ht="24" x14ac:dyDescent="0.25">
      <c r="B73" s="102" t="s">
        <v>508</v>
      </c>
      <c r="C73" s="103" t="s">
        <v>39</v>
      </c>
      <c r="D73" s="105" t="s">
        <v>354</v>
      </c>
      <c r="E73" s="104" t="s">
        <v>353</v>
      </c>
      <c r="F73" s="101" t="s">
        <v>5</v>
      </c>
      <c r="G73" s="109">
        <v>15</v>
      </c>
      <c r="H73" s="110">
        <v>975.07</v>
      </c>
      <c r="I73" s="110">
        <f t="shared" si="30"/>
        <v>1204.5999999999999</v>
      </c>
      <c r="J73" s="110">
        <f t="shared" si="33"/>
        <v>18069</v>
      </c>
      <c r="K73" s="136">
        <f t="shared" si="34"/>
        <v>1.203320837860798E-2</v>
      </c>
    </row>
    <row r="74" spans="2:11" x14ac:dyDescent="0.25">
      <c r="B74" s="102" t="s">
        <v>509</v>
      </c>
      <c r="C74" s="103" t="s">
        <v>39</v>
      </c>
      <c r="D74" s="105" t="s">
        <v>225</v>
      </c>
      <c r="E74" s="104" t="s">
        <v>114</v>
      </c>
      <c r="F74" s="106" t="s">
        <v>85</v>
      </c>
      <c r="G74" s="109">
        <v>8</v>
      </c>
      <c r="H74" s="110">
        <v>548.1</v>
      </c>
      <c r="I74" s="110">
        <f t="shared" si="30"/>
        <v>677.12</v>
      </c>
      <c r="J74" s="110">
        <f t="shared" si="33"/>
        <v>5416.96</v>
      </c>
      <c r="K74" s="136">
        <f t="shared" si="34"/>
        <v>3.6074718279143444E-3</v>
      </c>
    </row>
    <row r="75" spans="2:11" x14ac:dyDescent="0.25">
      <c r="B75" s="102" t="s">
        <v>510</v>
      </c>
      <c r="C75" s="103" t="s">
        <v>41</v>
      </c>
      <c r="D75" s="105" t="s">
        <v>115</v>
      </c>
      <c r="E75" s="104" t="s">
        <v>116</v>
      </c>
      <c r="F75" s="106" t="s">
        <v>85</v>
      </c>
      <c r="G75" s="109">
        <v>10</v>
      </c>
      <c r="H75" s="110">
        <v>675.84</v>
      </c>
      <c r="I75" s="110">
        <f>H75</f>
        <v>675.84</v>
      </c>
      <c r="J75" s="110">
        <f t="shared" si="33"/>
        <v>6758.4</v>
      </c>
      <c r="K75" s="136">
        <f t="shared" si="34"/>
        <v>4.5008155130878396E-3</v>
      </c>
    </row>
    <row r="76" spans="2:11" x14ac:dyDescent="0.25">
      <c r="B76" s="102" t="s">
        <v>511</v>
      </c>
      <c r="C76" s="103" t="s">
        <v>39</v>
      </c>
      <c r="D76" s="105" t="s">
        <v>117</v>
      </c>
      <c r="E76" s="104" t="s">
        <v>118</v>
      </c>
      <c r="F76" s="106" t="s">
        <v>85</v>
      </c>
      <c r="G76" s="109">
        <v>5</v>
      </c>
      <c r="H76" s="110">
        <v>193.8</v>
      </c>
      <c r="I76" s="110">
        <f t="shared" si="30"/>
        <v>239.42</v>
      </c>
      <c r="J76" s="110">
        <f t="shared" si="33"/>
        <v>1197.0999999999999</v>
      </c>
      <c r="K76" s="136">
        <f t="shared" si="34"/>
        <v>7.972192013964034E-4</v>
      </c>
    </row>
    <row r="77" spans="2:11" ht="24" x14ac:dyDescent="0.25">
      <c r="B77" s="102" t="s">
        <v>512</v>
      </c>
      <c r="C77" s="103" t="s">
        <v>10</v>
      </c>
      <c r="D77" s="105">
        <v>89985</v>
      </c>
      <c r="E77" s="104" t="s">
        <v>119</v>
      </c>
      <c r="F77" s="106" t="s">
        <v>85</v>
      </c>
      <c r="G77" s="109">
        <v>43</v>
      </c>
      <c r="H77" s="110">
        <v>78.790000000000006</v>
      </c>
      <c r="I77" s="110">
        <f t="shared" si="30"/>
        <v>97.34</v>
      </c>
      <c r="J77" s="110">
        <f t="shared" si="33"/>
        <v>4185.62</v>
      </c>
      <c r="K77" s="136">
        <f t="shared" si="34"/>
        <v>2.7874501994393235E-3</v>
      </c>
    </row>
    <row r="78" spans="2:11" ht="36" x14ac:dyDescent="0.25">
      <c r="B78" s="102" t="s">
        <v>513</v>
      </c>
      <c r="C78" s="103" t="s">
        <v>10</v>
      </c>
      <c r="D78" s="105">
        <v>86919</v>
      </c>
      <c r="E78" s="104" t="s">
        <v>120</v>
      </c>
      <c r="F78" s="106" t="s">
        <v>85</v>
      </c>
      <c r="G78" s="109">
        <v>1</v>
      </c>
      <c r="H78" s="110">
        <v>872.19</v>
      </c>
      <c r="I78" s="110">
        <f t="shared" si="30"/>
        <v>1077.5</v>
      </c>
      <c r="J78" s="110">
        <f t="shared" si="33"/>
        <v>1077.5</v>
      </c>
      <c r="K78" s="136">
        <f t="shared" si="34"/>
        <v>7.1757053671758807E-4</v>
      </c>
    </row>
    <row r="79" spans="2:11" ht="24" x14ac:dyDescent="0.25">
      <c r="B79" s="102" t="s">
        <v>514</v>
      </c>
      <c r="C79" s="103" t="s">
        <v>10</v>
      </c>
      <c r="D79" s="105">
        <v>86913</v>
      </c>
      <c r="E79" s="104" t="s">
        <v>121</v>
      </c>
      <c r="F79" s="106" t="s">
        <v>85</v>
      </c>
      <c r="G79" s="109">
        <v>1</v>
      </c>
      <c r="H79" s="110">
        <v>48.4</v>
      </c>
      <c r="I79" s="110">
        <f t="shared" si="30"/>
        <v>59.79</v>
      </c>
      <c r="J79" s="110">
        <f t="shared" si="33"/>
        <v>59.79</v>
      </c>
      <c r="K79" s="136">
        <f t="shared" si="34"/>
        <v>3.9817672752059947E-5</v>
      </c>
    </row>
    <row r="80" spans="2:11" x14ac:dyDescent="0.25">
      <c r="B80" s="102" t="s">
        <v>515</v>
      </c>
      <c r="C80" s="103" t="s">
        <v>10</v>
      </c>
      <c r="D80" s="105">
        <v>86883</v>
      </c>
      <c r="E80" s="104" t="s">
        <v>122</v>
      </c>
      <c r="F80" s="106" t="s">
        <v>85</v>
      </c>
      <c r="G80" s="109">
        <f>G78+G66+G71+G74</f>
        <v>35</v>
      </c>
      <c r="H80" s="110">
        <v>14.76</v>
      </c>
      <c r="I80" s="110">
        <f t="shared" si="30"/>
        <v>18.23</v>
      </c>
      <c r="J80" s="110">
        <f t="shared" si="33"/>
        <v>638.04999999999995</v>
      </c>
      <c r="K80" s="136">
        <f t="shared" si="34"/>
        <v>4.2491497072172347E-4</v>
      </c>
    </row>
    <row r="81" spans="2:11" ht="36" x14ac:dyDescent="0.25">
      <c r="B81" s="102" t="s">
        <v>516</v>
      </c>
      <c r="C81" s="103" t="s">
        <v>10</v>
      </c>
      <c r="D81" s="105">
        <v>89709</v>
      </c>
      <c r="E81" s="104" t="s">
        <v>123</v>
      </c>
      <c r="F81" s="106" t="s">
        <v>85</v>
      </c>
      <c r="G81" s="109">
        <v>7</v>
      </c>
      <c r="H81" s="110">
        <v>24.18</v>
      </c>
      <c r="I81" s="110">
        <f t="shared" si="30"/>
        <v>29.87</v>
      </c>
      <c r="J81" s="110">
        <f t="shared" si="33"/>
        <v>209.09</v>
      </c>
      <c r="K81" s="136">
        <f t="shared" si="34"/>
        <v>1.392453118536246E-4</v>
      </c>
    </row>
    <row r="82" spans="2:11" x14ac:dyDescent="0.25">
      <c r="B82" s="157" t="s">
        <v>186</v>
      </c>
      <c r="C82" s="157"/>
      <c r="D82" s="157"/>
      <c r="E82" s="158" t="s">
        <v>124</v>
      </c>
      <c r="F82" s="158"/>
      <c r="G82" s="158"/>
      <c r="H82" s="158"/>
      <c r="I82" s="158"/>
      <c r="J82" s="99">
        <f>SUBTOTAL(9,J83:J90)</f>
        <v>67972.11</v>
      </c>
      <c r="K82" s="135">
        <f>J82/$I$22</f>
        <v>4.5266620375431034E-2</v>
      </c>
    </row>
    <row r="83" spans="2:11" ht="36" x14ac:dyDescent="0.25">
      <c r="B83" s="102" t="s">
        <v>517</v>
      </c>
      <c r="C83" s="103" t="s">
        <v>10</v>
      </c>
      <c r="D83" s="105">
        <v>95472</v>
      </c>
      <c r="E83" s="104" t="s">
        <v>125</v>
      </c>
      <c r="F83" s="106" t="s">
        <v>85</v>
      </c>
      <c r="G83" s="28">
        <v>5</v>
      </c>
      <c r="H83" s="32">
        <v>752.88</v>
      </c>
      <c r="I83" s="32">
        <f t="shared" si="30"/>
        <v>930.11</v>
      </c>
      <c r="J83" s="32">
        <f t="shared" si="33"/>
        <v>4650.55</v>
      </c>
      <c r="K83" s="133">
        <f t="shared" si="34"/>
        <v>3.0970743939971969E-3</v>
      </c>
    </row>
    <row r="84" spans="2:11" ht="24" x14ac:dyDescent="0.25">
      <c r="B84" s="102" t="s">
        <v>518</v>
      </c>
      <c r="C84" s="103" t="s">
        <v>39</v>
      </c>
      <c r="D84" s="105" t="s">
        <v>402</v>
      </c>
      <c r="E84" s="104" t="s">
        <v>401</v>
      </c>
      <c r="F84" s="106" t="s">
        <v>85</v>
      </c>
      <c r="G84" s="28">
        <f>G83</f>
        <v>5</v>
      </c>
      <c r="H84" s="32">
        <v>1747.09</v>
      </c>
      <c r="I84" s="32">
        <f t="shared" ref="I84" si="35">ROUND(H84*(100%+$I$7),2)</f>
        <v>2158.35</v>
      </c>
      <c r="J84" s="32">
        <f t="shared" ref="J84" si="36">ROUND(I84*G84,2)</f>
        <v>10791.75</v>
      </c>
      <c r="K84" s="133">
        <f t="shared" ref="K84" si="37">J84/$I$22</f>
        <v>7.186860175983324E-3</v>
      </c>
    </row>
    <row r="85" spans="2:11" ht="36" x14ac:dyDescent="0.25">
      <c r="B85" s="102" t="s">
        <v>519</v>
      </c>
      <c r="C85" s="103" t="s">
        <v>39</v>
      </c>
      <c r="D85" s="105" t="s">
        <v>399</v>
      </c>
      <c r="E85" s="104" t="s">
        <v>398</v>
      </c>
      <c r="F85" s="106" t="s">
        <v>85</v>
      </c>
      <c r="G85" s="28">
        <v>5</v>
      </c>
      <c r="H85" s="32">
        <v>704.39</v>
      </c>
      <c r="I85" s="32">
        <f t="shared" ref="I85" si="38">ROUND(H85*(100%+$I$7),2)</f>
        <v>870.2</v>
      </c>
      <c r="J85" s="32">
        <f t="shared" ref="J85" si="39">ROUND(I85*G85,2)</f>
        <v>4351</v>
      </c>
      <c r="K85" s="133">
        <f t="shared" ref="K85" si="40">J85/$I$22</f>
        <v>2.8975864549960332E-3</v>
      </c>
    </row>
    <row r="86" spans="2:11" ht="24" x14ac:dyDescent="0.25">
      <c r="B86" s="102" t="s">
        <v>520</v>
      </c>
      <c r="C86" s="103" t="s">
        <v>39</v>
      </c>
      <c r="D86" s="105" t="s">
        <v>126</v>
      </c>
      <c r="E86" s="104" t="s">
        <v>127</v>
      </c>
      <c r="F86" s="106" t="s">
        <v>85</v>
      </c>
      <c r="G86" s="28">
        <v>10</v>
      </c>
      <c r="H86" s="32">
        <v>164.27</v>
      </c>
      <c r="I86" s="32">
        <f t="shared" si="30"/>
        <v>202.94</v>
      </c>
      <c r="J86" s="32">
        <f t="shared" si="33"/>
        <v>2029.4</v>
      </c>
      <c r="K86" s="133">
        <f t="shared" si="34"/>
        <v>1.3514966563477246E-3</v>
      </c>
    </row>
    <row r="87" spans="2:11" ht="24" x14ac:dyDescent="0.25">
      <c r="B87" s="102" t="s">
        <v>521</v>
      </c>
      <c r="C87" s="103" t="s">
        <v>39</v>
      </c>
      <c r="D87" s="105" t="s">
        <v>128</v>
      </c>
      <c r="E87" s="104" t="s">
        <v>129</v>
      </c>
      <c r="F87" s="106" t="s">
        <v>85</v>
      </c>
      <c r="G87" s="28">
        <v>5</v>
      </c>
      <c r="H87" s="32">
        <v>172.34</v>
      </c>
      <c r="I87" s="32">
        <f t="shared" si="30"/>
        <v>212.91</v>
      </c>
      <c r="J87" s="32">
        <f t="shared" si="33"/>
        <v>1064.55</v>
      </c>
      <c r="K87" s="133">
        <f t="shared" si="34"/>
        <v>7.0894637110228151E-4</v>
      </c>
    </row>
    <row r="88" spans="2:11" ht="24" x14ac:dyDescent="0.25">
      <c r="B88" s="102" t="s">
        <v>522</v>
      </c>
      <c r="C88" s="103" t="s">
        <v>39</v>
      </c>
      <c r="D88" s="105" t="s">
        <v>130</v>
      </c>
      <c r="E88" s="104" t="s">
        <v>131</v>
      </c>
      <c r="F88" s="106" t="s">
        <v>85</v>
      </c>
      <c r="G88" s="28">
        <v>5</v>
      </c>
      <c r="H88" s="32">
        <v>352.72</v>
      </c>
      <c r="I88" s="32">
        <f>ROUND(H88*(100%+$I$7),2)</f>
        <v>435.75</v>
      </c>
      <c r="J88" s="32">
        <f>ROUND(I88*G88,2)</f>
        <v>2178.75</v>
      </c>
      <c r="K88" s="133">
        <f>J88/$I$22</f>
        <v>1.4509575933860279E-3</v>
      </c>
    </row>
    <row r="89" spans="2:11" x14ac:dyDescent="0.25">
      <c r="B89" s="102" t="s">
        <v>523</v>
      </c>
      <c r="C89" s="103" t="s">
        <v>39</v>
      </c>
      <c r="D89" s="105" t="s">
        <v>293</v>
      </c>
      <c r="E89" s="104" t="s">
        <v>292</v>
      </c>
      <c r="F89" s="106" t="s">
        <v>32</v>
      </c>
      <c r="G89" s="28">
        <v>30.64</v>
      </c>
      <c r="H89" s="32">
        <v>909.55</v>
      </c>
      <c r="I89" s="32">
        <f>ROUND(H89*(100%+$I$7),2)</f>
        <v>1123.6600000000001</v>
      </c>
      <c r="J89" s="32">
        <f>ROUND(I89*G89,2)</f>
        <v>34428.94</v>
      </c>
      <c r="K89" s="133">
        <f>J89/$I$22</f>
        <v>2.2928253321965325E-2</v>
      </c>
    </row>
    <row r="90" spans="2:11" x14ac:dyDescent="0.25">
      <c r="B90" s="102" t="s">
        <v>524</v>
      </c>
      <c r="C90" s="103" t="s">
        <v>39</v>
      </c>
      <c r="D90" s="105" t="s">
        <v>295</v>
      </c>
      <c r="E90" s="104" t="s">
        <v>294</v>
      </c>
      <c r="F90" s="106" t="s">
        <v>32</v>
      </c>
      <c r="G90" s="28">
        <v>30.64</v>
      </c>
      <c r="H90" s="32">
        <v>223.95</v>
      </c>
      <c r="I90" s="32">
        <f>ROUND(H90*(100%+$I$7),2)</f>
        <v>276.67</v>
      </c>
      <c r="J90" s="32">
        <f>ROUND(I90*G90,2)</f>
        <v>8477.17</v>
      </c>
      <c r="K90" s="133">
        <f>J90/$I$22</f>
        <v>5.6454454076531194E-3</v>
      </c>
    </row>
    <row r="91" spans="2:11" x14ac:dyDescent="0.25">
      <c r="B91" s="157" t="s">
        <v>403</v>
      </c>
      <c r="C91" s="157"/>
      <c r="D91" s="157"/>
      <c r="E91" s="158" t="s">
        <v>132</v>
      </c>
      <c r="F91" s="158"/>
      <c r="G91" s="158"/>
      <c r="H91" s="158"/>
      <c r="I91" s="158"/>
      <c r="J91" s="99">
        <f>SUBTOTAL(9,J92:J94)</f>
        <v>32909.599999999999</v>
      </c>
      <c r="K91" s="135">
        <f>J91/$I$22</f>
        <v>2.1916435577875766E-2</v>
      </c>
    </row>
    <row r="92" spans="2:11" ht="36" x14ac:dyDescent="0.25">
      <c r="B92" s="102" t="s">
        <v>525</v>
      </c>
      <c r="C92" s="103" t="s">
        <v>10</v>
      </c>
      <c r="D92" s="105">
        <v>92275</v>
      </c>
      <c r="E92" s="104" t="s">
        <v>355</v>
      </c>
      <c r="F92" s="101" t="s">
        <v>32</v>
      </c>
      <c r="G92" s="28">
        <v>60</v>
      </c>
      <c r="H92" s="32">
        <v>56.53</v>
      </c>
      <c r="I92" s="32">
        <f t="shared" ref="I92:I94" si="41">ROUND(H92*(100%+$I$7),2)</f>
        <v>69.84</v>
      </c>
      <c r="J92" s="32">
        <f t="shared" ref="J92" si="42">ROUND(I92*G92,2)</f>
        <v>4190.3999999999996</v>
      </c>
      <c r="K92" s="133">
        <f t="shared" ref="K92" si="43">J92/$I$22</f>
        <v>2.790633482191537E-3</v>
      </c>
    </row>
    <row r="93" spans="2:11" ht="28.5" customHeight="1" x14ac:dyDescent="0.25">
      <c r="B93" s="102" t="s">
        <v>526</v>
      </c>
      <c r="C93" s="103" t="s">
        <v>39</v>
      </c>
      <c r="D93" s="105" t="s">
        <v>133</v>
      </c>
      <c r="E93" s="104" t="s">
        <v>134</v>
      </c>
      <c r="F93" s="101" t="s">
        <v>83</v>
      </c>
      <c r="G93" s="28">
        <v>8</v>
      </c>
      <c r="H93" s="32">
        <v>2510.48</v>
      </c>
      <c r="I93" s="32">
        <f t="shared" si="41"/>
        <v>3101.45</v>
      </c>
      <c r="J93" s="32">
        <f t="shared" ref="J93:J94" si="44">ROUND(I93*G93,2)</f>
        <v>24811.599999999999</v>
      </c>
      <c r="K93" s="133">
        <f t="shared" ref="K93:K94" si="45">J93/$I$22</f>
        <v>1.6523501743686411E-2</v>
      </c>
    </row>
    <row r="94" spans="2:11" x14ac:dyDescent="0.25">
      <c r="B94" s="102" t="s">
        <v>527</v>
      </c>
      <c r="C94" s="103" t="s">
        <v>39</v>
      </c>
      <c r="D94" s="105" t="s">
        <v>135</v>
      </c>
      <c r="E94" s="104" t="s">
        <v>136</v>
      </c>
      <c r="F94" s="101" t="s">
        <v>83</v>
      </c>
      <c r="G94" s="28">
        <v>8</v>
      </c>
      <c r="H94" s="32">
        <v>395.38</v>
      </c>
      <c r="I94" s="32">
        <f t="shared" si="41"/>
        <v>488.45</v>
      </c>
      <c r="J94" s="32">
        <f t="shared" si="44"/>
        <v>3907.6</v>
      </c>
      <c r="K94" s="133">
        <f t="shared" si="45"/>
        <v>2.6023003519978164E-3</v>
      </c>
    </row>
    <row r="95" spans="2:11" x14ac:dyDescent="0.25">
      <c r="B95" s="175">
        <v>6</v>
      </c>
      <c r="C95" s="175"/>
      <c r="D95" s="175"/>
      <c r="E95" s="176" t="s">
        <v>137</v>
      </c>
      <c r="F95" s="176"/>
      <c r="G95" s="176"/>
      <c r="H95" s="176"/>
      <c r="I95" s="100" t="s">
        <v>22</v>
      </c>
      <c r="J95" s="98">
        <f>SUBTOTAL(9,J96:J147)</f>
        <v>241259.6</v>
      </c>
      <c r="K95" s="134">
        <f>J95/$I$22</f>
        <v>0.16066893796776857</v>
      </c>
    </row>
    <row r="96" spans="2:11" x14ac:dyDescent="0.25">
      <c r="B96" s="157" t="s">
        <v>199</v>
      </c>
      <c r="C96" s="157"/>
      <c r="D96" s="157"/>
      <c r="E96" s="158" t="s">
        <v>138</v>
      </c>
      <c r="F96" s="158"/>
      <c r="G96" s="158"/>
      <c r="H96" s="158"/>
      <c r="I96" s="158"/>
      <c r="J96" s="99">
        <f>SUBTOTAL(9,J97)</f>
        <v>5771.9</v>
      </c>
      <c r="K96" s="135">
        <f>J96/$I$22</f>
        <v>3.8438472212345676E-3</v>
      </c>
    </row>
    <row r="97" spans="2:12" ht="24" x14ac:dyDescent="0.25">
      <c r="B97" s="102" t="s">
        <v>528</v>
      </c>
      <c r="C97" s="103" t="s">
        <v>41</v>
      </c>
      <c r="D97" s="105" t="s">
        <v>453</v>
      </c>
      <c r="E97" s="104" t="s">
        <v>452</v>
      </c>
      <c r="F97" s="106" t="s">
        <v>85</v>
      </c>
      <c r="G97" s="109">
        <v>1</v>
      </c>
      <c r="H97" s="110">
        <v>5771.9</v>
      </c>
      <c r="I97" s="110">
        <f>H97</f>
        <v>5771.9</v>
      </c>
      <c r="J97" s="110">
        <f t="shared" ref="J97" si="46">ROUND(I97*G97,2)</f>
        <v>5771.9</v>
      </c>
      <c r="K97" s="136">
        <f t="shared" ref="K97" si="47">J97/$I$22</f>
        <v>3.8438472212345676E-3</v>
      </c>
    </row>
    <row r="98" spans="2:12" x14ac:dyDescent="0.25">
      <c r="B98" s="157" t="s">
        <v>201</v>
      </c>
      <c r="C98" s="157"/>
      <c r="D98" s="157"/>
      <c r="E98" s="158" t="s">
        <v>224</v>
      </c>
      <c r="F98" s="158"/>
      <c r="G98" s="158"/>
      <c r="H98" s="158"/>
      <c r="I98" s="158"/>
      <c r="J98" s="99">
        <f>SUBTOTAL(9,J99:J120)</f>
        <v>74276.709999999992</v>
      </c>
      <c r="K98" s="135">
        <f>J98/$I$22</f>
        <v>4.9465223814679014E-2</v>
      </c>
    </row>
    <row r="99" spans="2:12" ht="36" x14ac:dyDescent="0.25">
      <c r="B99" s="102" t="s">
        <v>202</v>
      </c>
      <c r="C99" s="103" t="s">
        <v>10</v>
      </c>
      <c r="D99" s="122">
        <v>101880</v>
      </c>
      <c r="E99" s="104" t="s">
        <v>296</v>
      </c>
      <c r="F99" s="106" t="s">
        <v>85</v>
      </c>
      <c r="G99" s="28">
        <v>2</v>
      </c>
      <c r="H99" s="32">
        <v>547.89</v>
      </c>
      <c r="I99" s="32">
        <f t="shared" ref="I99:I120" si="48">ROUND(H99*(100%+$I$7),2)</f>
        <v>676.86</v>
      </c>
      <c r="J99" s="32">
        <f t="shared" ref="J99" si="49">ROUND(I99*G99,2)</f>
        <v>1353.72</v>
      </c>
      <c r="K99" s="133">
        <f t="shared" ref="K99" si="50">J99/$I$22</f>
        <v>9.0152165843650428E-4</v>
      </c>
      <c r="L99" s="42"/>
    </row>
    <row r="100" spans="2:12" ht="24" x14ac:dyDescent="0.25">
      <c r="B100" s="102" t="s">
        <v>203</v>
      </c>
      <c r="C100" s="103" t="s">
        <v>10</v>
      </c>
      <c r="D100" s="122">
        <v>101895</v>
      </c>
      <c r="E100" s="104" t="s">
        <v>297</v>
      </c>
      <c r="F100" s="106" t="s">
        <v>85</v>
      </c>
      <c r="G100" s="28">
        <v>2</v>
      </c>
      <c r="H100" s="32">
        <v>438.52</v>
      </c>
      <c r="I100" s="32">
        <f t="shared" si="48"/>
        <v>541.75</v>
      </c>
      <c r="J100" s="32">
        <f t="shared" ref="J100:J120" si="51">ROUND(I100*G100,2)</f>
        <v>1083.5</v>
      </c>
      <c r="K100" s="133">
        <f t="shared" ref="K100:K120" si="52">J100/$I$22</f>
        <v>7.2156628912622436E-4</v>
      </c>
    </row>
    <row r="101" spans="2:12" ht="24" x14ac:dyDescent="0.25">
      <c r="B101" s="102" t="s">
        <v>529</v>
      </c>
      <c r="C101" s="103" t="s">
        <v>10</v>
      </c>
      <c r="D101" s="122">
        <v>101896</v>
      </c>
      <c r="E101" s="104" t="s">
        <v>298</v>
      </c>
      <c r="F101" s="106" t="s">
        <v>85</v>
      </c>
      <c r="G101" s="28">
        <v>2</v>
      </c>
      <c r="H101" s="32">
        <v>638.12</v>
      </c>
      <c r="I101" s="32">
        <f t="shared" si="48"/>
        <v>788.33</v>
      </c>
      <c r="J101" s="32">
        <f t="shared" si="51"/>
        <v>1576.66</v>
      </c>
      <c r="K101" s="133">
        <f t="shared" si="52"/>
        <v>1.0499904987667308E-3</v>
      </c>
    </row>
    <row r="102" spans="2:12" ht="24" x14ac:dyDescent="0.25">
      <c r="B102" s="102" t="s">
        <v>358</v>
      </c>
      <c r="C102" s="103" t="s">
        <v>10</v>
      </c>
      <c r="D102" s="122">
        <v>93660</v>
      </c>
      <c r="E102" s="104" t="s">
        <v>299</v>
      </c>
      <c r="F102" s="106" t="s">
        <v>85</v>
      </c>
      <c r="G102" s="28">
        <v>30</v>
      </c>
      <c r="H102" s="32">
        <v>55.54</v>
      </c>
      <c r="I102" s="32">
        <f t="shared" si="48"/>
        <v>68.61</v>
      </c>
      <c r="J102" s="32">
        <f t="shared" si="51"/>
        <v>2058.3000000000002</v>
      </c>
      <c r="K102" s="133">
        <f t="shared" si="52"/>
        <v>1.370742863782656E-3</v>
      </c>
    </row>
    <row r="103" spans="2:12" ht="24" x14ac:dyDescent="0.25">
      <c r="B103" s="102" t="s">
        <v>530</v>
      </c>
      <c r="C103" s="103" t="s">
        <v>10</v>
      </c>
      <c r="D103" s="122">
        <v>93661</v>
      </c>
      <c r="E103" s="104" t="s">
        <v>300</v>
      </c>
      <c r="F103" s="106" t="s">
        <v>85</v>
      </c>
      <c r="G103" s="28">
        <v>24</v>
      </c>
      <c r="H103" s="32">
        <v>57.41</v>
      </c>
      <c r="I103" s="32">
        <f t="shared" si="48"/>
        <v>70.92</v>
      </c>
      <c r="J103" s="32">
        <f t="shared" si="51"/>
        <v>1702.08</v>
      </c>
      <c r="K103" s="133">
        <f t="shared" si="52"/>
        <v>1.1335150432819233E-3</v>
      </c>
    </row>
    <row r="104" spans="2:12" ht="24" x14ac:dyDescent="0.25">
      <c r="B104" s="102" t="s">
        <v>531</v>
      </c>
      <c r="C104" s="103" t="s">
        <v>10</v>
      </c>
      <c r="D104" s="122">
        <v>93662</v>
      </c>
      <c r="E104" s="104" t="s">
        <v>301</v>
      </c>
      <c r="F104" s="106" t="s">
        <v>85</v>
      </c>
      <c r="G104" s="28">
        <v>2</v>
      </c>
      <c r="H104" s="32">
        <v>60.86</v>
      </c>
      <c r="I104" s="32">
        <f t="shared" si="48"/>
        <v>75.19</v>
      </c>
      <c r="J104" s="32">
        <f t="shared" si="51"/>
        <v>150.38</v>
      </c>
      <c r="K104" s="133">
        <f t="shared" si="52"/>
        <v>1.0014687453511915E-4</v>
      </c>
    </row>
    <row r="105" spans="2:12" ht="24" x14ac:dyDescent="0.25">
      <c r="B105" s="102" t="s">
        <v>532</v>
      </c>
      <c r="C105" s="103" t="s">
        <v>10</v>
      </c>
      <c r="D105" s="122">
        <v>93666</v>
      </c>
      <c r="E105" s="104" t="s">
        <v>302</v>
      </c>
      <c r="F105" s="106" t="s">
        <v>85</v>
      </c>
      <c r="G105" s="28">
        <v>2</v>
      </c>
      <c r="H105" s="32">
        <v>80.05</v>
      </c>
      <c r="I105" s="32">
        <f t="shared" si="48"/>
        <v>98.89</v>
      </c>
      <c r="J105" s="32">
        <f t="shared" si="51"/>
        <v>197.78</v>
      </c>
      <c r="K105" s="133">
        <f t="shared" si="52"/>
        <v>1.3171331856334532E-4</v>
      </c>
    </row>
    <row r="106" spans="2:12" x14ac:dyDescent="0.25">
      <c r="B106" s="102" t="s">
        <v>533</v>
      </c>
      <c r="C106" s="103" t="s">
        <v>39</v>
      </c>
      <c r="D106" s="122" t="s">
        <v>139</v>
      </c>
      <c r="E106" s="104" t="s">
        <v>239</v>
      </c>
      <c r="F106" s="106" t="s">
        <v>85</v>
      </c>
      <c r="G106" s="28">
        <v>4</v>
      </c>
      <c r="H106" s="32">
        <v>346.66</v>
      </c>
      <c r="I106" s="32">
        <f t="shared" si="48"/>
        <v>428.26</v>
      </c>
      <c r="J106" s="32">
        <f t="shared" si="51"/>
        <v>1713.04</v>
      </c>
      <c r="K106" s="133">
        <f t="shared" si="52"/>
        <v>1.1408139510150322E-3</v>
      </c>
    </row>
    <row r="107" spans="2:12" ht="26.25" customHeight="1" x14ac:dyDescent="0.25">
      <c r="B107" s="102" t="s">
        <v>534</v>
      </c>
      <c r="C107" s="103" t="s">
        <v>39</v>
      </c>
      <c r="D107" s="122" t="s">
        <v>140</v>
      </c>
      <c r="E107" s="104" t="s">
        <v>141</v>
      </c>
      <c r="F107" s="106" t="s">
        <v>85</v>
      </c>
      <c r="G107" s="28">
        <v>4</v>
      </c>
      <c r="H107" s="32">
        <v>139.30000000000001</v>
      </c>
      <c r="I107" s="32">
        <f t="shared" si="48"/>
        <v>172.09</v>
      </c>
      <c r="J107" s="32">
        <f t="shared" si="51"/>
        <v>688.36</v>
      </c>
      <c r="K107" s="133">
        <f t="shared" si="52"/>
        <v>4.5841935466813823E-4</v>
      </c>
    </row>
    <row r="108" spans="2:12" ht="36" x14ac:dyDescent="0.25">
      <c r="B108" s="102" t="s">
        <v>535</v>
      </c>
      <c r="C108" s="103" t="s">
        <v>10</v>
      </c>
      <c r="D108" s="105">
        <v>91856</v>
      </c>
      <c r="E108" s="104" t="s">
        <v>285</v>
      </c>
      <c r="F108" s="101" t="s">
        <v>32</v>
      </c>
      <c r="G108" s="28">
        <v>162.5</v>
      </c>
      <c r="H108" s="32">
        <v>15.15</v>
      </c>
      <c r="I108" s="32">
        <f t="shared" si="48"/>
        <v>18.72</v>
      </c>
      <c r="J108" s="32">
        <f t="shared" si="51"/>
        <v>3042</v>
      </c>
      <c r="K108" s="133">
        <f t="shared" si="52"/>
        <v>2.0258464711785645E-3</v>
      </c>
    </row>
    <row r="109" spans="2:12" ht="36" x14ac:dyDescent="0.25">
      <c r="B109" s="102" t="s">
        <v>536</v>
      </c>
      <c r="C109" s="103" t="s">
        <v>10</v>
      </c>
      <c r="D109" s="105">
        <v>91850</v>
      </c>
      <c r="E109" s="104" t="s">
        <v>286</v>
      </c>
      <c r="F109" s="101" t="s">
        <v>32</v>
      </c>
      <c r="G109" s="28">
        <v>177</v>
      </c>
      <c r="H109" s="32">
        <v>13.03</v>
      </c>
      <c r="I109" s="32">
        <f t="shared" ref="I109" si="53">ROUND(H109*(100%+$I$7),2)</f>
        <v>16.100000000000001</v>
      </c>
      <c r="J109" s="32">
        <f t="shared" ref="J109" si="54">ROUND(I109*G109,2)</f>
        <v>2849.7</v>
      </c>
      <c r="K109" s="133">
        <f t="shared" ref="K109:K110" si="55">J109/$I$22</f>
        <v>1.8977826064817732E-3</v>
      </c>
    </row>
    <row r="110" spans="2:12" ht="24" x14ac:dyDescent="0.25">
      <c r="B110" s="102" t="s">
        <v>537</v>
      </c>
      <c r="C110" s="103" t="s">
        <v>39</v>
      </c>
      <c r="D110" s="105" t="s">
        <v>412</v>
      </c>
      <c r="E110" s="104" t="s">
        <v>411</v>
      </c>
      <c r="F110" s="101" t="s">
        <v>32</v>
      </c>
      <c r="G110" s="28">
        <v>50</v>
      </c>
      <c r="H110" s="32">
        <v>11.02</v>
      </c>
      <c r="I110" s="32">
        <f t="shared" si="48"/>
        <v>13.61</v>
      </c>
      <c r="J110" s="32">
        <f t="shared" si="51"/>
        <v>680.5</v>
      </c>
      <c r="K110" s="133">
        <f t="shared" si="55"/>
        <v>4.531849190128248E-4</v>
      </c>
    </row>
    <row r="111" spans="2:12" ht="24" x14ac:dyDescent="0.25">
      <c r="B111" s="102" t="s">
        <v>538</v>
      </c>
      <c r="C111" s="26" t="s">
        <v>10</v>
      </c>
      <c r="D111" s="123">
        <v>93358</v>
      </c>
      <c r="E111" s="20" t="s">
        <v>84</v>
      </c>
      <c r="F111" s="27" t="s">
        <v>4</v>
      </c>
      <c r="G111" s="28">
        <v>21</v>
      </c>
      <c r="H111" s="32">
        <v>115.98</v>
      </c>
      <c r="I111" s="32">
        <f t="shared" si="48"/>
        <v>143.28</v>
      </c>
      <c r="J111" s="32">
        <f t="shared" si="51"/>
        <v>3008.88</v>
      </c>
      <c r="K111" s="133">
        <f t="shared" ref="K111" si="56">J111/$I$22</f>
        <v>2.0037899178828923E-3</v>
      </c>
    </row>
    <row r="112" spans="2:12" ht="24" x14ac:dyDescent="0.25">
      <c r="B112" s="102" t="s">
        <v>539</v>
      </c>
      <c r="C112" s="103" t="s">
        <v>39</v>
      </c>
      <c r="D112" s="105" t="s">
        <v>416</v>
      </c>
      <c r="E112" s="104" t="s">
        <v>415</v>
      </c>
      <c r="F112" s="101" t="s">
        <v>85</v>
      </c>
      <c r="G112" s="28">
        <v>12</v>
      </c>
      <c r="H112" s="32">
        <v>43.95</v>
      </c>
      <c r="I112" s="32">
        <f t="shared" si="48"/>
        <v>54.3</v>
      </c>
      <c r="J112" s="32">
        <f t="shared" si="51"/>
        <v>651.6</v>
      </c>
      <c r="K112" s="133">
        <f t="shared" ref="K112" si="57">J112/$I$22</f>
        <v>4.3393871157789365E-4</v>
      </c>
    </row>
    <row r="113" spans="2:15" ht="24" x14ac:dyDescent="0.25">
      <c r="B113" s="102" t="s">
        <v>540</v>
      </c>
      <c r="C113" s="103" t="s">
        <v>39</v>
      </c>
      <c r="D113" s="105" t="s">
        <v>414</v>
      </c>
      <c r="E113" s="104" t="s">
        <v>413</v>
      </c>
      <c r="F113" s="101" t="s">
        <v>85</v>
      </c>
      <c r="G113" s="28">
        <v>3</v>
      </c>
      <c r="H113" s="32">
        <v>76.47</v>
      </c>
      <c r="I113" s="32">
        <f t="shared" ref="I113" si="58">ROUND(H113*(100%+$I$7),2)</f>
        <v>94.47</v>
      </c>
      <c r="J113" s="32">
        <f t="shared" ref="J113" si="59">ROUND(I113*G113,2)</f>
        <v>283.41000000000003</v>
      </c>
      <c r="K113" s="133">
        <f t="shared" ref="K113" si="60">J113/$I$22</f>
        <v>1.8873936502193195E-4</v>
      </c>
    </row>
    <row r="114" spans="2:15" ht="24" x14ac:dyDescent="0.25">
      <c r="B114" s="102" t="s">
        <v>541</v>
      </c>
      <c r="C114" s="103" t="s">
        <v>10</v>
      </c>
      <c r="D114" s="105">
        <v>91924</v>
      </c>
      <c r="E114" s="104" t="s">
        <v>228</v>
      </c>
      <c r="F114" s="101" t="s">
        <v>32</v>
      </c>
      <c r="G114" s="28">
        <v>300</v>
      </c>
      <c r="H114" s="32">
        <v>3.45</v>
      </c>
      <c r="I114" s="32">
        <f t="shared" si="48"/>
        <v>4.26</v>
      </c>
      <c r="J114" s="32">
        <f t="shared" si="51"/>
        <v>1278</v>
      </c>
      <c r="K114" s="133">
        <f t="shared" si="52"/>
        <v>8.5109526303951515E-4</v>
      </c>
    </row>
    <row r="115" spans="2:15" ht="24" x14ac:dyDescent="0.25">
      <c r="B115" s="102" t="s">
        <v>542</v>
      </c>
      <c r="C115" s="103" t="s">
        <v>10</v>
      </c>
      <c r="D115" s="105">
        <v>91926</v>
      </c>
      <c r="E115" s="104" t="s">
        <v>229</v>
      </c>
      <c r="F115" s="101" t="s">
        <v>32</v>
      </c>
      <c r="G115" s="28">
        <f>(118*4)*3</f>
        <v>1416</v>
      </c>
      <c r="H115" s="32">
        <v>4.87</v>
      </c>
      <c r="I115" s="32">
        <f t="shared" si="48"/>
        <v>6.02</v>
      </c>
      <c r="J115" s="32">
        <f t="shared" si="51"/>
        <v>8524.32</v>
      </c>
      <c r="K115" s="133">
        <f t="shared" si="52"/>
        <v>5.6768453619976521E-3</v>
      </c>
    </row>
    <row r="116" spans="2:15" ht="24" x14ac:dyDescent="0.25">
      <c r="B116" s="102" t="s">
        <v>543</v>
      </c>
      <c r="C116" s="103" t="s">
        <v>10</v>
      </c>
      <c r="D116" s="105">
        <v>91928</v>
      </c>
      <c r="E116" s="104" t="s">
        <v>230</v>
      </c>
      <c r="F116" s="101" t="s">
        <v>32</v>
      </c>
      <c r="G116" s="28">
        <f>(118*4)*3</f>
        <v>1416</v>
      </c>
      <c r="H116" s="32">
        <v>7.35</v>
      </c>
      <c r="I116" s="32">
        <f t="shared" si="48"/>
        <v>9.08</v>
      </c>
      <c r="J116" s="32">
        <f t="shared" si="51"/>
        <v>12857.28</v>
      </c>
      <c r="K116" s="133">
        <f t="shared" si="52"/>
        <v>8.562417921418387E-3</v>
      </c>
    </row>
    <row r="117" spans="2:15" ht="24" x14ac:dyDescent="0.25">
      <c r="B117" s="102" t="s">
        <v>544</v>
      </c>
      <c r="C117" s="103" t="s">
        <v>10</v>
      </c>
      <c r="D117" s="105">
        <v>91930</v>
      </c>
      <c r="E117" s="104" t="s">
        <v>231</v>
      </c>
      <c r="F117" s="101" t="s">
        <v>32</v>
      </c>
      <c r="G117" s="28">
        <f>118*3</f>
        <v>354</v>
      </c>
      <c r="H117" s="32">
        <v>10.16</v>
      </c>
      <c r="I117" s="32">
        <f t="shared" si="48"/>
        <v>12.55</v>
      </c>
      <c r="J117" s="32">
        <f t="shared" si="51"/>
        <v>4442.7</v>
      </c>
      <c r="K117" s="133">
        <f t="shared" si="52"/>
        <v>2.9586548709746902E-3</v>
      </c>
    </row>
    <row r="118" spans="2:15" ht="36" x14ac:dyDescent="0.25">
      <c r="B118" s="102" t="s">
        <v>545</v>
      </c>
      <c r="C118" s="103" t="s">
        <v>10</v>
      </c>
      <c r="D118" s="105">
        <v>92984</v>
      </c>
      <c r="E118" s="104" t="s">
        <v>226</v>
      </c>
      <c r="F118" s="101" t="s">
        <v>32</v>
      </c>
      <c r="G118" s="28">
        <v>200</v>
      </c>
      <c r="H118" s="32">
        <v>27.62</v>
      </c>
      <c r="I118" s="32">
        <f t="shared" si="48"/>
        <v>34.119999999999997</v>
      </c>
      <c r="J118" s="32">
        <f t="shared" si="51"/>
        <v>6824</v>
      </c>
      <c r="K118" s="133">
        <f t="shared" si="52"/>
        <v>4.5445024060889296E-3</v>
      </c>
    </row>
    <row r="119" spans="2:15" ht="36" x14ac:dyDescent="0.25">
      <c r="B119" s="102" t="s">
        <v>546</v>
      </c>
      <c r="C119" s="103" t="s">
        <v>10</v>
      </c>
      <c r="D119" s="105">
        <v>92988</v>
      </c>
      <c r="E119" s="104" t="s">
        <v>227</v>
      </c>
      <c r="F119" s="101" t="s">
        <v>32</v>
      </c>
      <c r="G119" s="28">
        <v>150</v>
      </c>
      <c r="H119" s="32">
        <v>54.32</v>
      </c>
      <c r="I119" s="32">
        <f t="shared" si="48"/>
        <v>67.11</v>
      </c>
      <c r="J119" s="32">
        <f t="shared" si="51"/>
        <v>10066.5</v>
      </c>
      <c r="K119" s="133">
        <f t="shared" si="52"/>
        <v>6.7038736035894206E-3</v>
      </c>
    </row>
    <row r="120" spans="2:15" ht="36" x14ac:dyDescent="0.25">
      <c r="B120" s="102" t="s">
        <v>547</v>
      </c>
      <c r="C120" s="103" t="s">
        <v>10</v>
      </c>
      <c r="D120" s="105">
        <v>92990</v>
      </c>
      <c r="E120" s="104" t="s">
        <v>400</v>
      </c>
      <c r="F120" s="101" t="s">
        <v>32</v>
      </c>
      <c r="G120" s="28">
        <v>100</v>
      </c>
      <c r="H120" s="32">
        <v>74.83</v>
      </c>
      <c r="I120" s="32">
        <f t="shared" si="48"/>
        <v>92.44</v>
      </c>
      <c r="J120" s="32">
        <f t="shared" si="51"/>
        <v>9244</v>
      </c>
      <c r="K120" s="133">
        <f t="shared" si="52"/>
        <v>6.1561225442388718E-3</v>
      </c>
    </row>
    <row r="121" spans="2:15" x14ac:dyDescent="0.25">
      <c r="B121" s="157" t="s">
        <v>204</v>
      </c>
      <c r="C121" s="157"/>
      <c r="D121" s="157"/>
      <c r="E121" s="158" t="s">
        <v>224</v>
      </c>
      <c r="F121" s="158"/>
      <c r="G121" s="158"/>
      <c r="H121" s="158"/>
      <c r="I121" s="158"/>
      <c r="J121" s="99">
        <f>SUBTOTAL(9,J122:J133)</f>
        <v>90993.040000000008</v>
      </c>
      <c r="K121" s="135">
        <f>J121/$I$22</f>
        <v>6.0597609791522011E-2</v>
      </c>
    </row>
    <row r="122" spans="2:15" ht="48" x14ac:dyDescent="0.25">
      <c r="B122" s="102" t="s">
        <v>205</v>
      </c>
      <c r="C122" s="103" t="s">
        <v>10</v>
      </c>
      <c r="D122" s="103">
        <v>104473</v>
      </c>
      <c r="E122" s="108" t="s">
        <v>232</v>
      </c>
      <c r="F122" s="106" t="s">
        <v>85</v>
      </c>
      <c r="G122" s="28">
        <v>50</v>
      </c>
      <c r="H122" s="32">
        <v>203.4</v>
      </c>
      <c r="I122" s="32">
        <f t="shared" ref="I122:I133" si="61">ROUND(H122*(100%+$I$7),2)</f>
        <v>251.28</v>
      </c>
      <c r="J122" s="32">
        <f t="shared" ref="J122" si="62">ROUND(I122*G122,2)</f>
        <v>12564</v>
      </c>
      <c r="K122" s="133">
        <f t="shared" ref="K122" si="63">J122/$I$22</f>
        <v>8.3671055436842483E-3</v>
      </c>
    </row>
    <row r="123" spans="2:15" ht="60" x14ac:dyDescent="0.25">
      <c r="B123" s="102" t="s">
        <v>206</v>
      </c>
      <c r="C123" s="103" t="s">
        <v>10</v>
      </c>
      <c r="D123" s="103">
        <v>104474</v>
      </c>
      <c r="E123" s="108" t="s">
        <v>233</v>
      </c>
      <c r="F123" s="106" t="s">
        <v>85</v>
      </c>
      <c r="G123" s="28">
        <v>45</v>
      </c>
      <c r="H123" s="32">
        <v>369.66</v>
      </c>
      <c r="I123" s="32">
        <f t="shared" si="61"/>
        <v>456.68</v>
      </c>
      <c r="J123" s="32">
        <f t="shared" ref="J123:J133" si="64">ROUND(I123*G123,2)</f>
        <v>20550.599999999999</v>
      </c>
      <c r="K123" s="133">
        <f t="shared" ref="K123:K133" si="65">J123/$I$22</f>
        <v>1.3685851574819921E-2</v>
      </c>
      <c r="O123" t="s">
        <v>460</v>
      </c>
    </row>
    <row r="124" spans="2:15" ht="24" x14ac:dyDescent="0.25">
      <c r="B124" s="102" t="s">
        <v>207</v>
      </c>
      <c r="C124" s="103" t="s">
        <v>10</v>
      </c>
      <c r="D124" s="105">
        <v>103782</v>
      </c>
      <c r="E124" s="104" t="s">
        <v>234</v>
      </c>
      <c r="F124" s="106" t="s">
        <v>85</v>
      </c>
      <c r="G124" s="28">
        <v>56</v>
      </c>
      <c r="H124" s="32">
        <v>37</v>
      </c>
      <c r="I124" s="32">
        <f t="shared" si="61"/>
        <v>45.71</v>
      </c>
      <c r="J124" s="32">
        <f t="shared" si="64"/>
        <v>2559.7600000000002</v>
      </c>
      <c r="K124" s="133">
        <f t="shared" si="65"/>
        <v>1.7046945309217758E-3</v>
      </c>
    </row>
    <row r="125" spans="2:15" ht="24" x14ac:dyDescent="0.25">
      <c r="B125" s="102" t="s">
        <v>208</v>
      </c>
      <c r="C125" s="103" t="s">
        <v>39</v>
      </c>
      <c r="D125" s="105" t="s">
        <v>238</v>
      </c>
      <c r="E125" s="104" t="s">
        <v>284</v>
      </c>
      <c r="F125" s="106" t="s">
        <v>85</v>
      </c>
      <c r="G125" s="28">
        <v>26</v>
      </c>
      <c r="H125" s="32">
        <v>135.83000000000001</v>
      </c>
      <c r="I125" s="32">
        <f t="shared" si="61"/>
        <v>167.8</v>
      </c>
      <c r="J125" s="32">
        <f t="shared" si="64"/>
        <v>4362.8</v>
      </c>
      <c r="K125" s="133">
        <f t="shared" si="65"/>
        <v>2.9054447680663511E-3</v>
      </c>
    </row>
    <row r="126" spans="2:15" ht="24" x14ac:dyDescent="0.25">
      <c r="B126" s="102" t="s">
        <v>209</v>
      </c>
      <c r="C126" s="103" t="s">
        <v>10</v>
      </c>
      <c r="D126" s="105">
        <v>97607</v>
      </c>
      <c r="E126" s="104" t="s">
        <v>235</v>
      </c>
      <c r="F126" s="106" t="s">
        <v>85</v>
      </c>
      <c r="G126" s="28">
        <v>3</v>
      </c>
      <c r="H126" s="32">
        <v>124.01</v>
      </c>
      <c r="I126" s="32">
        <f t="shared" si="61"/>
        <v>153.19999999999999</v>
      </c>
      <c r="J126" s="32">
        <f t="shared" si="64"/>
        <v>459.6</v>
      </c>
      <c r="K126" s="133">
        <f t="shared" si="65"/>
        <v>3.0607463450153458E-4</v>
      </c>
    </row>
    <row r="127" spans="2:15" ht="24" x14ac:dyDescent="0.25">
      <c r="B127" s="102" t="s">
        <v>210</v>
      </c>
      <c r="C127" s="103" t="s">
        <v>39</v>
      </c>
      <c r="D127" s="122" t="s">
        <v>435</v>
      </c>
      <c r="E127" s="104" t="s">
        <v>434</v>
      </c>
      <c r="F127" s="106" t="s">
        <v>85</v>
      </c>
      <c r="G127" s="28">
        <v>24</v>
      </c>
      <c r="H127" s="32">
        <v>89.73</v>
      </c>
      <c r="I127" s="32">
        <f t="shared" si="61"/>
        <v>110.85</v>
      </c>
      <c r="J127" s="32">
        <f t="shared" si="64"/>
        <v>2660.4</v>
      </c>
      <c r="K127" s="133">
        <f t="shared" si="65"/>
        <v>1.7717166179893006E-3</v>
      </c>
    </row>
    <row r="128" spans="2:15" ht="24" x14ac:dyDescent="0.25">
      <c r="B128" s="102" t="s">
        <v>211</v>
      </c>
      <c r="C128" s="103" t="s">
        <v>10</v>
      </c>
      <c r="D128" s="122">
        <v>101632</v>
      </c>
      <c r="E128" s="104" t="s">
        <v>236</v>
      </c>
      <c r="F128" s="106" t="s">
        <v>85</v>
      </c>
      <c r="G128" s="28">
        <v>15</v>
      </c>
      <c r="H128" s="32">
        <v>40.51</v>
      </c>
      <c r="I128" s="32">
        <f t="shared" si="61"/>
        <v>50.05</v>
      </c>
      <c r="J128" s="32">
        <f t="shared" si="64"/>
        <v>750.75</v>
      </c>
      <c r="K128" s="133">
        <f t="shared" si="65"/>
        <v>4.9996852013060725E-4</v>
      </c>
    </row>
    <row r="129" spans="2:11" ht="24" x14ac:dyDescent="0.25">
      <c r="B129" s="102" t="s">
        <v>212</v>
      </c>
      <c r="C129" s="103" t="s">
        <v>39</v>
      </c>
      <c r="D129" s="122" t="s">
        <v>287</v>
      </c>
      <c r="E129" s="104" t="s">
        <v>304</v>
      </c>
      <c r="F129" s="106" t="s">
        <v>85</v>
      </c>
      <c r="G129" s="28">
        <v>4</v>
      </c>
      <c r="H129" s="32">
        <v>1661.5</v>
      </c>
      <c r="I129" s="32">
        <f t="shared" ref="I129:I132" si="66">ROUND(H129*(100%+$I$7),2)</f>
        <v>2052.62</v>
      </c>
      <c r="J129" s="32">
        <f t="shared" ref="J129:J132" si="67">ROUND(I129*G129,2)</f>
        <v>8210.48</v>
      </c>
      <c r="K129" s="133">
        <f t="shared" ref="K129:K132" si="68">J129/$I$22</f>
        <v>5.4678408726765871E-3</v>
      </c>
    </row>
    <row r="130" spans="2:11" ht="24" x14ac:dyDescent="0.25">
      <c r="B130" s="102" t="s">
        <v>213</v>
      </c>
      <c r="C130" s="103" t="s">
        <v>39</v>
      </c>
      <c r="D130" s="122" t="s">
        <v>437</v>
      </c>
      <c r="E130" s="104" t="s">
        <v>436</v>
      </c>
      <c r="F130" s="106" t="s">
        <v>85</v>
      </c>
      <c r="G130" s="28">
        <v>1</v>
      </c>
      <c r="H130" s="32">
        <v>1143.07</v>
      </c>
      <c r="I130" s="32">
        <f t="shared" ref="I130" si="69">ROUND(H130*(100%+$I$7),2)</f>
        <v>1412.15</v>
      </c>
      <c r="J130" s="32">
        <f t="shared" ref="J130" si="70">ROUND(I130*G130,2)</f>
        <v>1412.15</v>
      </c>
      <c r="K130" s="133">
        <f t="shared" ref="K130" si="71">J130/$I$22</f>
        <v>9.4043362730927339E-4</v>
      </c>
    </row>
    <row r="131" spans="2:11" x14ac:dyDescent="0.25">
      <c r="B131" s="102" t="s">
        <v>214</v>
      </c>
      <c r="C131" s="103" t="s">
        <v>39</v>
      </c>
      <c r="D131" s="122" t="s">
        <v>289</v>
      </c>
      <c r="E131" s="104" t="s">
        <v>288</v>
      </c>
      <c r="F131" s="106" t="s">
        <v>85</v>
      </c>
      <c r="G131" s="28">
        <f>5*4</f>
        <v>20</v>
      </c>
      <c r="H131" s="32">
        <v>95.24</v>
      </c>
      <c r="I131" s="32">
        <f t="shared" si="66"/>
        <v>117.66</v>
      </c>
      <c r="J131" s="32">
        <f t="shared" si="67"/>
        <v>2353.1999999999998</v>
      </c>
      <c r="K131" s="133">
        <f t="shared" si="68"/>
        <v>1.5671340946671259E-3</v>
      </c>
    </row>
    <row r="132" spans="2:11" ht="24" x14ac:dyDescent="0.25">
      <c r="B132" s="102" t="s">
        <v>215</v>
      </c>
      <c r="C132" s="103" t="s">
        <v>39</v>
      </c>
      <c r="D132" s="122" t="s">
        <v>459</v>
      </c>
      <c r="E132" s="104" t="s">
        <v>458</v>
      </c>
      <c r="F132" s="106" t="s">
        <v>85</v>
      </c>
      <c r="G132" s="28">
        <f>G131</f>
        <v>20</v>
      </c>
      <c r="H132" s="32">
        <v>1415.54</v>
      </c>
      <c r="I132" s="32">
        <f t="shared" si="66"/>
        <v>1748.76</v>
      </c>
      <c r="J132" s="32">
        <f t="shared" si="67"/>
        <v>34975.199999999997</v>
      </c>
      <c r="K132" s="133">
        <f t="shared" si="68"/>
        <v>2.3292039940422261E-2</v>
      </c>
    </row>
    <row r="133" spans="2:11" ht="24" x14ac:dyDescent="0.25">
      <c r="B133" s="102" t="s">
        <v>216</v>
      </c>
      <c r="C133" s="103" t="s">
        <v>10</v>
      </c>
      <c r="D133" s="102">
        <v>97599</v>
      </c>
      <c r="E133" s="108" t="s">
        <v>237</v>
      </c>
      <c r="F133" s="106" t="s">
        <v>85</v>
      </c>
      <c r="G133" s="28">
        <v>5</v>
      </c>
      <c r="H133" s="32">
        <v>21.71</v>
      </c>
      <c r="I133" s="32">
        <f t="shared" si="61"/>
        <v>26.82</v>
      </c>
      <c r="J133" s="32">
        <f t="shared" si="64"/>
        <v>134.1</v>
      </c>
      <c r="K133" s="133">
        <f t="shared" si="65"/>
        <v>8.9305066333019548E-5</v>
      </c>
    </row>
    <row r="134" spans="2:11" x14ac:dyDescent="0.25">
      <c r="B134" s="157" t="s">
        <v>217</v>
      </c>
      <c r="C134" s="157"/>
      <c r="D134" s="157"/>
      <c r="E134" s="158" t="s">
        <v>252</v>
      </c>
      <c r="F134" s="158"/>
      <c r="G134" s="158"/>
      <c r="H134" s="158"/>
      <c r="I134" s="158"/>
      <c r="J134" s="99">
        <f>SUBTOTAL(9,J135:J136)</f>
        <v>49774.45</v>
      </c>
      <c r="K134" s="135">
        <f>J134/$I$22</f>
        <v>3.3147729746007194E-2</v>
      </c>
    </row>
    <row r="135" spans="2:11" ht="48" x14ac:dyDescent="0.25">
      <c r="B135" s="102" t="s">
        <v>218</v>
      </c>
      <c r="C135" s="103" t="s">
        <v>10</v>
      </c>
      <c r="D135" s="102">
        <v>104475</v>
      </c>
      <c r="E135" s="108" t="s">
        <v>277</v>
      </c>
      <c r="F135" s="106" t="s">
        <v>85</v>
      </c>
      <c r="G135" s="28">
        <v>190</v>
      </c>
      <c r="H135" s="32">
        <v>171.32</v>
      </c>
      <c r="I135" s="32">
        <f t="shared" ref="I135" si="72">ROUND(H135*(100%+$I$7),2)</f>
        <v>211.65</v>
      </c>
      <c r="J135" s="32">
        <f t="shared" ref="J135" si="73">ROUND(I135*G135,2)</f>
        <v>40213.5</v>
      </c>
      <c r="K135" s="133">
        <f t="shared" ref="K135" si="74">J135/$I$22</f>
        <v>2.6780531580782117E-2</v>
      </c>
    </row>
    <row r="136" spans="2:11" ht="60" x14ac:dyDescent="0.25">
      <c r="B136" s="102" t="s">
        <v>219</v>
      </c>
      <c r="C136" s="103" t="s">
        <v>10</v>
      </c>
      <c r="D136" s="102">
        <v>104476</v>
      </c>
      <c r="E136" s="108" t="s">
        <v>283</v>
      </c>
      <c r="F136" s="106" t="s">
        <v>85</v>
      </c>
      <c r="G136" s="28">
        <v>35</v>
      </c>
      <c r="H136" s="32">
        <v>221.12</v>
      </c>
      <c r="I136" s="32">
        <f t="shared" ref="I136" si="75">ROUND(H136*(100%+$I$7),2)</f>
        <v>273.17</v>
      </c>
      <c r="J136" s="32">
        <f t="shared" ref="J136" si="76">ROUND(I136*G136,2)</f>
        <v>9560.9500000000007</v>
      </c>
      <c r="K136" s="133">
        <f t="shared" ref="K136" si="77">J136/$I$22</f>
        <v>6.3671981652250803E-3</v>
      </c>
    </row>
    <row r="137" spans="2:11" x14ac:dyDescent="0.25">
      <c r="B137" s="157" t="s">
        <v>220</v>
      </c>
      <c r="C137" s="157"/>
      <c r="D137" s="157"/>
      <c r="E137" s="158" t="s">
        <v>142</v>
      </c>
      <c r="F137" s="158"/>
      <c r="G137" s="158"/>
      <c r="H137" s="158"/>
      <c r="I137" s="158"/>
      <c r="J137" s="99">
        <f>SUBTOTAL(9,J138:J147)</f>
        <v>20443.500000000004</v>
      </c>
      <c r="K137" s="135">
        <f>J137/$I$22</f>
        <v>1.3614527394325768E-2</v>
      </c>
    </row>
    <row r="138" spans="2:11" x14ac:dyDescent="0.25">
      <c r="B138" s="102" t="s">
        <v>359</v>
      </c>
      <c r="C138" s="103" t="s">
        <v>39</v>
      </c>
      <c r="D138" s="105" t="s">
        <v>143</v>
      </c>
      <c r="E138" s="104" t="s">
        <v>144</v>
      </c>
      <c r="F138" s="106" t="s">
        <v>85</v>
      </c>
      <c r="G138" s="28">
        <v>1</v>
      </c>
      <c r="H138" s="32">
        <v>1251.95</v>
      </c>
      <c r="I138" s="32">
        <f t="shared" ref="I138:I147" si="78">ROUND(H138*(100%+$I$7),2)</f>
        <v>1546.66</v>
      </c>
      <c r="J138" s="32">
        <f t="shared" ref="J138" si="79">ROUND(I138*G138,2)</f>
        <v>1546.66</v>
      </c>
      <c r="K138" s="133">
        <f t="shared" ref="K138" si="80">J138/$I$22</f>
        <v>1.0300117367235497E-3</v>
      </c>
    </row>
    <row r="139" spans="2:11" x14ac:dyDescent="0.25">
      <c r="B139" s="102" t="s">
        <v>360</v>
      </c>
      <c r="C139" s="103" t="s">
        <v>39</v>
      </c>
      <c r="D139" s="105" t="s">
        <v>145</v>
      </c>
      <c r="E139" s="104" t="s">
        <v>146</v>
      </c>
      <c r="F139" s="106" t="s">
        <v>85</v>
      </c>
      <c r="G139" s="28">
        <v>1</v>
      </c>
      <c r="H139" s="32">
        <v>2222.6</v>
      </c>
      <c r="I139" s="32">
        <f t="shared" si="78"/>
        <v>2745.8</v>
      </c>
      <c r="J139" s="32">
        <f t="shared" ref="J139:J147" si="81">ROUND(I139*G139,2)</f>
        <v>2745.8</v>
      </c>
      <c r="K139" s="133">
        <f t="shared" ref="K139:K147" si="82">J139/$I$22</f>
        <v>1.8285894939388896E-3</v>
      </c>
    </row>
    <row r="140" spans="2:11" x14ac:dyDescent="0.25">
      <c r="B140" s="102" t="s">
        <v>361</v>
      </c>
      <c r="C140" s="103" t="s">
        <v>39</v>
      </c>
      <c r="D140" s="105" t="s">
        <v>147</v>
      </c>
      <c r="E140" s="104" t="s">
        <v>148</v>
      </c>
      <c r="F140" s="106" t="s">
        <v>85</v>
      </c>
      <c r="G140" s="28">
        <v>1</v>
      </c>
      <c r="H140" s="32">
        <v>514.72</v>
      </c>
      <c r="I140" s="32">
        <f t="shared" si="78"/>
        <v>635.89</v>
      </c>
      <c r="J140" s="32">
        <f t="shared" si="81"/>
        <v>635.89</v>
      </c>
      <c r="K140" s="133">
        <f t="shared" si="82"/>
        <v>4.2347649985461446E-4</v>
      </c>
    </row>
    <row r="141" spans="2:11" x14ac:dyDescent="0.25">
      <c r="B141" s="102" t="s">
        <v>548</v>
      </c>
      <c r="C141" s="103" t="s">
        <v>39</v>
      </c>
      <c r="D141" s="105" t="s">
        <v>149</v>
      </c>
      <c r="E141" s="104" t="s">
        <v>150</v>
      </c>
      <c r="F141" s="106" t="s">
        <v>85</v>
      </c>
      <c r="G141" s="28">
        <v>5</v>
      </c>
      <c r="H141" s="32">
        <v>23.29</v>
      </c>
      <c r="I141" s="32">
        <f t="shared" si="78"/>
        <v>28.77</v>
      </c>
      <c r="J141" s="32">
        <f t="shared" si="81"/>
        <v>143.85</v>
      </c>
      <c r="K141" s="133">
        <f t="shared" si="82"/>
        <v>9.5798163997053398E-5</v>
      </c>
    </row>
    <row r="142" spans="2:11" ht="36" x14ac:dyDescent="0.25">
      <c r="B142" s="102" t="s">
        <v>549</v>
      </c>
      <c r="C142" s="103" t="s">
        <v>10</v>
      </c>
      <c r="D142" s="105">
        <v>100561</v>
      </c>
      <c r="E142" s="104" t="s">
        <v>303</v>
      </c>
      <c r="F142" s="106" t="s">
        <v>85</v>
      </c>
      <c r="G142" s="28">
        <v>1</v>
      </c>
      <c r="H142" s="32">
        <v>191.66</v>
      </c>
      <c r="I142" s="32">
        <f t="shared" si="78"/>
        <v>236.78</v>
      </c>
      <c r="J142" s="32">
        <f t="shared" si="81"/>
        <v>236.78</v>
      </c>
      <c r="K142" s="133">
        <f t="shared" si="82"/>
        <v>1.5768570921948074E-4</v>
      </c>
    </row>
    <row r="143" spans="2:11" ht="24" x14ac:dyDescent="0.25">
      <c r="B143" s="102" t="s">
        <v>550</v>
      </c>
      <c r="C143" s="103" t="s">
        <v>10</v>
      </c>
      <c r="D143" s="105">
        <v>101795</v>
      </c>
      <c r="E143" s="104" t="s">
        <v>151</v>
      </c>
      <c r="F143" s="106" t="s">
        <v>85</v>
      </c>
      <c r="G143" s="28">
        <v>1</v>
      </c>
      <c r="H143" s="32">
        <v>621.04</v>
      </c>
      <c r="I143" s="32">
        <f t="shared" si="78"/>
        <v>767.23</v>
      </c>
      <c r="J143" s="32">
        <f t="shared" si="81"/>
        <v>767.23</v>
      </c>
      <c r="K143" s="133">
        <f t="shared" si="82"/>
        <v>5.1094352007966133E-4</v>
      </c>
    </row>
    <row r="144" spans="2:11" x14ac:dyDescent="0.25">
      <c r="B144" s="102" t="s">
        <v>551</v>
      </c>
      <c r="C144" s="103" t="s">
        <v>39</v>
      </c>
      <c r="D144" s="105" t="s">
        <v>305</v>
      </c>
      <c r="E144" s="104" t="s">
        <v>306</v>
      </c>
      <c r="F144" s="106" t="s">
        <v>32</v>
      </c>
      <c r="G144" s="28">
        <f>(24*3)+26.2+77.88</f>
        <v>176.07999999999998</v>
      </c>
      <c r="H144" s="32">
        <v>27.04</v>
      </c>
      <c r="I144" s="32">
        <f t="shared" si="78"/>
        <v>33.409999999999997</v>
      </c>
      <c r="J144" s="32">
        <f t="shared" si="81"/>
        <v>5882.83</v>
      </c>
      <c r="K144" s="133">
        <f t="shared" si="82"/>
        <v>3.9177220236829039E-3</v>
      </c>
    </row>
    <row r="145" spans="2:11" ht="24" x14ac:dyDescent="0.25">
      <c r="B145" s="102" t="s">
        <v>552</v>
      </c>
      <c r="C145" s="103" t="s">
        <v>39</v>
      </c>
      <c r="D145" s="105" t="s">
        <v>308</v>
      </c>
      <c r="E145" s="104" t="s">
        <v>307</v>
      </c>
      <c r="F145" s="106" t="s">
        <v>32</v>
      </c>
      <c r="G145" s="28">
        <f>G144</f>
        <v>176.07999999999998</v>
      </c>
      <c r="H145" s="32">
        <v>19.579999999999998</v>
      </c>
      <c r="I145" s="32">
        <f t="shared" ref="I145" si="83">ROUND(H145*(100%+$I$7),2)</f>
        <v>24.19</v>
      </c>
      <c r="J145" s="32">
        <f t="shared" ref="J145" si="84">ROUND(I145*G145,2)</f>
        <v>4259.38</v>
      </c>
      <c r="K145" s="133">
        <f t="shared" ref="K145" si="85">J145/$I$22</f>
        <v>2.836571315716158E-3</v>
      </c>
    </row>
    <row r="146" spans="2:11" x14ac:dyDescent="0.25">
      <c r="B146" s="102" t="s">
        <v>553</v>
      </c>
      <c r="C146" s="103" t="s">
        <v>10</v>
      </c>
      <c r="D146" s="105">
        <v>98307</v>
      </c>
      <c r="E146" s="104" t="s">
        <v>152</v>
      </c>
      <c r="F146" s="106" t="s">
        <v>85</v>
      </c>
      <c r="G146" s="28">
        <f>24*2</f>
        <v>48</v>
      </c>
      <c r="H146" s="32">
        <v>49.51</v>
      </c>
      <c r="I146" s="32">
        <f t="shared" si="78"/>
        <v>61.16</v>
      </c>
      <c r="J146" s="32">
        <f t="shared" si="81"/>
        <v>2935.68</v>
      </c>
      <c r="K146" s="133">
        <f t="shared" si="82"/>
        <v>1.9550417384975303E-3</v>
      </c>
    </row>
    <row r="147" spans="2:11" ht="12.75" customHeight="1" x14ac:dyDescent="0.25">
      <c r="B147" s="102" t="s">
        <v>554</v>
      </c>
      <c r="C147" s="103" t="s">
        <v>10</v>
      </c>
      <c r="D147" s="105">
        <v>98308</v>
      </c>
      <c r="E147" s="104" t="s">
        <v>153</v>
      </c>
      <c r="F147" s="106" t="s">
        <v>85</v>
      </c>
      <c r="G147" s="28">
        <v>30</v>
      </c>
      <c r="H147" s="32">
        <v>34.79</v>
      </c>
      <c r="I147" s="32">
        <f t="shared" si="78"/>
        <v>42.98</v>
      </c>
      <c r="J147" s="32">
        <f t="shared" si="81"/>
        <v>1289.4000000000001</v>
      </c>
      <c r="K147" s="133">
        <f t="shared" si="82"/>
        <v>8.5868719261592409E-4</v>
      </c>
    </row>
    <row r="148" spans="2:11" x14ac:dyDescent="0.25">
      <c r="B148" s="175">
        <v>7</v>
      </c>
      <c r="C148" s="175"/>
      <c r="D148" s="175"/>
      <c r="E148" s="176" t="s">
        <v>457</v>
      </c>
      <c r="F148" s="176"/>
      <c r="G148" s="176"/>
      <c r="H148" s="176"/>
      <c r="I148" s="100" t="s">
        <v>22</v>
      </c>
      <c r="J148" s="98">
        <f>SUBTOTAL(9,J149:J193)</f>
        <v>724487.09000000008</v>
      </c>
      <c r="K148" s="134">
        <f>J148/$I$22</f>
        <v>0.4824785058155579</v>
      </c>
    </row>
    <row r="149" spans="2:11" x14ac:dyDescent="0.25">
      <c r="B149" s="157" t="s">
        <v>362</v>
      </c>
      <c r="C149" s="157"/>
      <c r="D149" s="157"/>
      <c r="E149" s="158" t="s">
        <v>248</v>
      </c>
      <c r="F149" s="158"/>
      <c r="G149" s="158"/>
      <c r="H149" s="158"/>
      <c r="I149" s="158"/>
      <c r="J149" s="99">
        <f>SUBTOTAL(9,J150:J154)</f>
        <v>114050.37</v>
      </c>
      <c r="K149" s="135">
        <f>J149/$I$22</f>
        <v>7.5952840105558708E-2</v>
      </c>
    </row>
    <row r="150" spans="2:11" x14ac:dyDescent="0.25">
      <c r="B150" s="102" t="s">
        <v>279</v>
      </c>
      <c r="C150" s="103" t="s">
        <v>39</v>
      </c>
      <c r="D150" s="105" t="s">
        <v>242</v>
      </c>
      <c r="E150" s="104" t="s">
        <v>241</v>
      </c>
      <c r="F150" s="101" t="s">
        <v>5</v>
      </c>
      <c r="G150" s="28">
        <v>424.19</v>
      </c>
      <c r="H150" s="32">
        <v>97.51</v>
      </c>
      <c r="I150" s="32">
        <f t="shared" ref="I150:I153" si="86">ROUND(H150*(100%+$I$7),2)</f>
        <v>120.46</v>
      </c>
      <c r="J150" s="32">
        <f t="shared" ref="J150" si="87">ROUND(I150*G150,2)</f>
        <v>51097.93</v>
      </c>
      <c r="K150" s="133">
        <f t="shared" ref="K150" si="88">J150/$I$22</f>
        <v>3.4029112812304176E-2</v>
      </c>
    </row>
    <row r="151" spans="2:11" x14ac:dyDescent="0.25">
      <c r="B151" s="102" t="s">
        <v>555</v>
      </c>
      <c r="C151" s="103" t="s">
        <v>39</v>
      </c>
      <c r="D151" s="105" t="s">
        <v>246</v>
      </c>
      <c r="E151" s="104" t="s">
        <v>245</v>
      </c>
      <c r="F151" s="101" t="s">
        <v>32</v>
      </c>
      <c r="G151" s="28">
        <f>464</f>
        <v>464</v>
      </c>
      <c r="H151" s="32">
        <v>52.48</v>
      </c>
      <c r="I151" s="32">
        <f t="shared" si="86"/>
        <v>64.83</v>
      </c>
      <c r="J151" s="32">
        <f t="shared" ref="J151:J153" si="89">ROUND(I151*G151,2)</f>
        <v>30081.119999999999</v>
      </c>
      <c r="K151" s="133">
        <f t="shared" ref="K151:K153" si="90">J151/$I$22</f>
        <v>2.0032784615745869E-2</v>
      </c>
    </row>
    <row r="152" spans="2:11" ht="33" customHeight="1" x14ac:dyDescent="0.25">
      <c r="B152" s="102" t="s">
        <v>556</v>
      </c>
      <c r="C152" s="103" t="s">
        <v>39</v>
      </c>
      <c r="D152" s="105" t="s">
        <v>244</v>
      </c>
      <c r="E152" s="107" t="s">
        <v>243</v>
      </c>
      <c r="F152" s="101" t="s">
        <v>5</v>
      </c>
      <c r="G152" s="28">
        <v>32.26</v>
      </c>
      <c r="H152" s="32">
        <v>146.88</v>
      </c>
      <c r="I152" s="32">
        <f t="shared" si="86"/>
        <v>181.46</v>
      </c>
      <c r="J152" s="32">
        <f t="shared" si="89"/>
        <v>5853.9</v>
      </c>
      <c r="K152" s="133">
        <f t="shared" si="90"/>
        <v>3.898455837485929E-3</v>
      </c>
    </row>
    <row r="153" spans="2:11" x14ac:dyDescent="0.25">
      <c r="B153" s="102" t="s">
        <v>557</v>
      </c>
      <c r="C153" s="103" t="s">
        <v>10</v>
      </c>
      <c r="D153" s="105">
        <v>98689</v>
      </c>
      <c r="E153" s="104" t="s">
        <v>240</v>
      </c>
      <c r="F153" s="101" t="s">
        <v>32</v>
      </c>
      <c r="G153" s="28">
        <v>19</v>
      </c>
      <c r="H153" s="32">
        <v>127.08</v>
      </c>
      <c r="I153" s="32">
        <f t="shared" si="86"/>
        <v>156.99</v>
      </c>
      <c r="J153" s="32">
        <f t="shared" si="89"/>
        <v>2982.81</v>
      </c>
      <c r="K153" s="133">
        <f t="shared" si="90"/>
        <v>1.986428373667368E-3</v>
      </c>
    </row>
    <row r="154" spans="2:11" ht="24" x14ac:dyDescent="0.25">
      <c r="B154" s="102" t="s">
        <v>558</v>
      </c>
      <c r="C154" s="103" t="s">
        <v>10</v>
      </c>
      <c r="D154" s="119">
        <v>98680</v>
      </c>
      <c r="E154" s="104" t="s">
        <v>154</v>
      </c>
      <c r="F154" s="101" t="s">
        <v>5</v>
      </c>
      <c r="G154" s="28">
        <f>G150</f>
        <v>424.19</v>
      </c>
      <c r="H154" s="32">
        <v>45.86</v>
      </c>
      <c r="I154" s="32">
        <f>ROUND(H154*(100%+$I$7),2)</f>
        <v>56.66</v>
      </c>
      <c r="J154" s="32">
        <f>ROUND(I154*G154,2)</f>
        <v>24034.61</v>
      </c>
      <c r="K154" s="133">
        <f t="shared" ref="K154:K158" si="91">J154/$I$22</f>
        <v>1.6006058466355368E-2</v>
      </c>
    </row>
    <row r="155" spans="2:11" x14ac:dyDescent="0.25">
      <c r="B155" s="157" t="s">
        <v>352</v>
      </c>
      <c r="C155" s="157"/>
      <c r="D155" s="157"/>
      <c r="E155" s="158" t="s">
        <v>249</v>
      </c>
      <c r="F155" s="158"/>
      <c r="G155" s="158"/>
      <c r="H155" s="158"/>
      <c r="I155" s="158"/>
      <c r="J155" s="99">
        <f>SUBTOTAL(9,J156:J167)</f>
        <v>315891.73000000004</v>
      </c>
      <c r="K155" s="135">
        <f t="shared" si="91"/>
        <v>0.21037085683596052</v>
      </c>
    </row>
    <row r="156" spans="2:11" ht="24" x14ac:dyDescent="0.25">
      <c r="B156" s="102" t="s">
        <v>280</v>
      </c>
      <c r="C156" s="103" t="s">
        <v>10</v>
      </c>
      <c r="D156" s="119">
        <v>103946</v>
      </c>
      <c r="E156" s="104" t="s">
        <v>247</v>
      </c>
      <c r="F156" s="101" t="s">
        <v>5</v>
      </c>
      <c r="G156" s="109">
        <v>696.2</v>
      </c>
      <c r="H156" s="32">
        <v>21.8</v>
      </c>
      <c r="I156" s="32">
        <f>ROUND(H156*(100%+$I$7),2)</f>
        <v>26.93</v>
      </c>
      <c r="J156" s="32">
        <f>ROUND(I156*G156,2)</f>
        <v>18748.669999999998</v>
      </c>
      <c r="K156" s="133">
        <f t="shared" si="91"/>
        <v>1.2485840551870943E-2</v>
      </c>
    </row>
    <row r="157" spans="2:11" ht="24" x14ac:dyDescent="0.25">
      <c r="B157" s="102" t="s">
        <v>281</v>
      </c>
      <c r="C157" s="26" t="s">
        <v>10</v>
      </c>
      <c r="D157" s="120" t="s">
        <v>82</v>
      </c>
      <c r="E157" s="104" t="s">
        <v>81</v>
      </c>
      <c r="F157" s="21" t="s">
        <v>5</v>
      </c>
      <c r="G157" s="118">
        <v>1851.24</v>
      </c>
      <c r="H157" s="31">
        <v>0.69</v>
      </c>
      <c r="I157" s="32">
        <f>ROUND(H157*(100%+$I$7),2)</f>
        <v>0.85</v>
      </c>
      <c r="J157" s="32">
        <f>ROUND(I157*G157,2)</f>
        <v>1573.55</v>
      </c>
      <c r="K157" s="133">
        <f t="shared" si="91"/>
        <v>1.0479193671015876E-3</v>
      </c>
    </row>
    <row r="158" spans="2:11" ht="24" x14ac:dyDescent="0.25">
      <c r="B158" s="102" t="s">
        <v>282</v>
      </c>
      <c r="C158" s="26" t="s">
        <v>38</v>
      </c>
      <c r="D158" s="120" t="s">
        <v>430</v>
      </c>
      <c r="E158" s="107" t="s">
        <v>429</v>
      </c>
      <c r="F158" s="101" t="s">
        <v>5</v>
      </c>
      <c r="G158" s="109">
        <v>1499.1890000000001</v>
      </c>
      <c r="H158" s="110">
        <v>3.54</v>
      </c>
      <c r="I158" s="110">
        <f>ROUND(H158*(100%+$I$7),2)</f>
        <v>4.37</v>
      </c>
      <c r="J158" s="110">
        <f>ROUND(I158*G158,2)</f>
        <v>6551.46</v>
      </c>
      <c r="K158" s="136">
        <f t="shared" si="91"/>
        <v>4.3630020125139763E-3</v>
      </c>
    </row>
    <row r="159" spans="2:11" ht="36" x14ac:dyDescent="0.25">
      <c r="B159" s="102" t="s">
        <v>309</v>
      </c>
      <c r="C159" s="103" t="s">
        <v>10</v>
      </c>
      <c r="D159" s="102">
        <v>94994</v>
      </c>
      <c r="E159" s="104" t="s">
        <v>438</v>
      </c>
      <c r="F159" s="101" t="s">
        <v>5</v>
      </c>
      <c r="G159" s="109">
        <v>1835</v>
      </c>
      <c r="H159" s="32">
        <v>90.71</v>
      </c>
      <c r="I159" s="32">
        <f t="shared" ref="I159:I162" si="92">ROUND(H159*(100%+$I$7),2)</f>
        <v>112.06</v>
      </c>
      <c r="J159" s="32">
        <f t="shared" ref="J159:J162" si="93">ROUND(I159*G159,2)</f>
        <v>205630.1</v>
      </c>
      <c r="K159" s="133">
        <f t="shared" ref="K159:K162" si="94">J159/$I$22</f>
        <v>0.13694116122718453</v>
      </c>
    </row>
    <row r="160" spans="2:11" x14ac:dyDescent="0.25">
      <c r="B160" s="102" t="s">
        <v>310</v>
      </c>
      <c r="C160" s="103" t="s">
        <v>39</v>
      </c>
      <c r="D160" s="105" t="s">
        <v>155</v>
      </c>
      <c r="E160" s="104" t="s">
        <v>156</v>
      </c>
      <c r="F160" s="101" t="s">
        <v>32</v>
      </c>
      <c r="G160" s="109">
        <v>50</v>
      </c>
      <c r="H160" s="32">
        <v>56.82</v>
      </c>
      <c r="I160" s="32">
        <f t="shared" si="92"/>
        <v>70.2</v>
      </c>
      <c r="J160" s="32">
        <f t="shared" si="93"/>
        <v>3510</v>
      </c>
      <c r="K160" s="133">
        <f t="shared" si="94"/>
        <v>2.3375151590521895E-3</v>
      </c>
    </row>
    <row r="161" spans="2:11" x14ac:dyDescent="0.25">
      <c r="B161" s="102" t="s">
        <v>311</v>
      </c>
      <c r="C161" s="103" t="s">
        <v>39</v>
      </c>
      <c r="D161" s="105" t="s">
        <v>187</v>
      </c>
      <c r="E161" s="104" t="s">
        <v>425</v>
      </c>
      <c r="F161" s="101" t="s">
        <v>4</v>
      </c>
      <c r="G161" s="109">
        <f>(G163+G159)*0.05</f>
        <v>92.562000000000012</v>
      </c>
      <c r="H161" s="110">
        <v>70.73</v>
      </c>
      <c r="I161" s="110">
        <f t="shared" ref="I161" si="95">ROUND(H161*(100%+$I$7),2)</f>
        <v>87.38</v>
      </c>
      <c r="J161" s="110">
        <f t="shared" ref="J161" si="96">ROUND(I161*G161,2)</f>
        <v>8088.07</v>
      </c>
      <c r="K161" s="136">
        <f t="shared" ref="K161" si="97">J161/$I$22</f>
        <v>5.3863208639530601E-3</v>
      </c>
    </row>
    <row r="162" spans="2:11" x14ac:dyDescent="0.25">
      <c r="B162" s="102" t="s">
        <v>312</v>
      </c>
      <c r="C162" s="26" t="s">
        <v>38</v>
      </c>
      <c r="D162" s="120" t="s">
        <v>426</v>
      </c>
      <c r="E162" s="107" t="s">
        <v>427</v>
      </c>
      <c r="F162" s="21" t="s">
        <v>5</v>
      </c>
      <c r="G162" s="109">
        <f>G163+G159</f>
        <v>1851.24</v>
      </c>
      <c r="H162" s="32">
        <v>1.49</v>
      </c>
      <c r="I162" s="32">
        <f t="shared" si="92"/>
        <v>1.84</v>
      </c>
      <c r="J162" s="32">
        <f t="shared" si="93"/>
        <v>3406.28</v>
      </c>
      <c r="K162" s="133">
        <f t="shared" si="94"/>
        <v>2.2684419190815647E-3</v>
      </c>
    </row>
    <row r="163" spans="2:11" x14ac:dyDescent="0.25">
      <c r="B163" s="102" t="s">
        <v>313</v>
      </c>
      <c r="C163" s="26" t="s">
        <v>38</v>
      </c>
      <c r="D163" s="102" t="s">
        <v>442</v>
      </c>
      <c r="E163" s="104" t="s">
        <v>441</v>
      </c>
      <c r="F163" s="101" t="s">
        <v>4</v>
      </c>
      <c r="G163" s="109">
        <f>162.4*0.1</f>
        <v>16.240000000000002</v>
      </c>
      <c r="H163" s="32">
        <v>1045.07</v>
      </c>
      <c r="I163" s="32">
        <f t="shared" ref="I163:I167" si="98">ROUND(H163*(100%+$I$7),2)</f>
        <v>1291.08</v>
      </c>
      <c r="J163" s="32">
        <f t="shared" ref="J163:J167" si="99">ROUND(I163*G163,2)</f>
        <v>20967.14</v>
      </c>
      <c r="K163" s="133">
        <f t="shared" ref="K163:K167" si="100">J163/$I$22</f>
        <v>1.3963250026202143E-2</v>
      </c>
    </row>
    <row r="164" spans="2:11" x14ac:dyDescent="0.25">
      <c r="B164" s="102" t="s">
        <v>314</v>
      </c>
      <c r="C164" s="103" t="s">
        <v>39</v>
      </c>
      <c r="D164" s="119" t="s">
        <v>410</v>
      </c>
      <c r="E164" s="104" t="s">
        <v>408</v>
      </c>
      <c r="F164" s="101" t="s">
        <v>409</v>
      </c>
      <c r="G164" s="109">
        <f>162.4*1.5</f>
        <v>243.60000000000002</v>
      </c>
      <c r="H164" s="32">
        <v>10.27</v>
      </c>
      <c r="I164" s="32">
        <f t="shared" ref="I164" si="101">ROUND(H164*(100%+$I$7),2)</f>
        <v>12.69</v>
      </c>
      <c r="J164" s="32">
        <f t="shared" ref="J164" si="102">ROUND(I164*G164,2)</f>
        <v>3091.28</v>
      </c>
      <c r="K164" s="133">
        <f t="shared" ref="K164" si="103">J164/$I$22</f>
        <v>2.0586649176281631E-3</v>
      </c>
    </row>
    <row r="165" spans="2:11" x14ac:dyDescent="0.25">
      <c r="B165" s="102" t="s">
        <v>315</v>
      </c>
      <c r="C165" s="103" t="s">
        <v>39</v>
      </c>
      <c r="D165" s="102" t="s">
        <v>446</v>
      </c>
      <c r="E165" s="104" t="s">
        <v>447</v>
      </c>
      <c r="F165" s="21" t="s">
        <v>5</v>
      </c>
      <c r="G165" s="109">
        <f>G162</f>
        <v>1851.24</v>
      </c>
      <c r="H165" s="32">
        <v>16.47</v>
      </c>
      <c r="I165" s="32">
        <f t="shared" ref="I165" si="104">ROUND(H165*(100%+$I$7),2)</f>
        <v>20.350000000000001</v>
      </c>
      <c r="J165" s="32">
        <f t="shared" ref="J165" si="105">ROUND(I165*G165,2)</f>
        <v>37672.730000000003</v>
      </c>
      <c r="K165" s="133">
        <f t="shared" ref="K165" si="106">J165/$I$22</f>
        <v>2.5088483606233676E-2</v>
      </c>
    </row>
    <row r="166" spans="2:11" x14ac:dyDescent="0.25">
      <c r="B166" s="102" t="s">
        <v>316</v>
      </c>
      <c r="C166" s="103" t="s">
        <v>194</v>
      </c>
      <c r="D166" s="121" t="s">
        <v>440</v>
      </c>
      <c r="E166" s="107" t="s">
        <v>439</v>
      </c>
      <c r="F166" s="101" t="s">
        <v>32</v>
      </c>
      <c r="G166" s="109">
        <v>47</v>
      </c>
      <c r="H166" s="32">
        <v>39.380000000000003</v>
      </c>
      <c r="I166" s="32">
        <f t="shared" ref="I166" si="107">ROUND(H166*(100%+$I$7),2)</f>
        <v>48.65</v>
      </c>
      <c r="J166" s="32">
        <f t="shared" ref="J166" si="108">ROUND(I166*G166,2)</f>
        <v>2286.5500000000002</v>
      </c>
      <c r="K166" s="133">
        <f t="shared" ref="K166" si="109">J166/$I$22</f>
        <v>1.5227479449945254E-3</v>
      </c>
    </row>
    <row r="167" spans="2:11" x14ac:dyDescent="0.25">
      <c r="B167" s="102" t="s">
        <v>559</v>
      </c>
      <c r="C167" s="96" t="s">
        <v>39</v>
      </c>
      <c r="D167" s="120" t="s">
        <v>423</v>
      </c>
      <c r="E167" s="107" t="s">
        <v>424</v>
      </c>
      <c r="F167" s="21" t="s">
        <v>32</v>
      </c>
      <c r="G167" s="109">
        <f>17+43+15+86+100+36</f>
        <v>297</v>
      </c>
      <c r="H167" s="32">
        <v>11.9</v>
      </c>
      <c r="I167" s="32">
        <f t="shared" si="98"/>
        <v>14.7</v>
      </c>
      <c r="J167" s="32">
        <f t="shared" si="99"/>
        <v>4365.8999999999996</v>
      </c>
      <c r="K167" s="133">
        <f t="shared" si="100"/>
        <v>2.9075092401441463E-3</v>
      </c>
    </row>
    <row r="168" spans="2:11" x14ac:dyDescent="0.25">
      <c r="B168" s="157" t="s">
        <v>363</v>
      </c>
      <c r="C168" s="157"/>
      <c r="D168" s="157"/>
      <c r="E168" s="158" t="s">
        <v>250</v>
      </c>
      <c r="F168" s="158"/>
      <c r="G168" s="158"/>
      <c r="H168" s="158"/>
      <c r="I168" s="158"/>
      <c r="J168" s="99">
        <f>SUBTOTAL(9,J169:J176)</f>
        <v>195836.05</v>
      </c>
      <c r="K168" s="135">
        <f>J168/$I$22</f>
        <v>0.13041872808088389</v>
      </c>
    </row>
    <row r="169" spans="2:11" ht="48" x14ac:dyDescent="0.25">
      <c r="B169" s="102" t="s">
        <v>364</v>
      </c>
      <c r="C169" s="103" t="s">
        <v>10</v>
      </c>
      <c r="D169" s="105">
        <v>87545</v>
      </c>
      <c r="E169" s="104" t="s">
        <v>157</v>
      </c>
      <c r="F169" s="101" t="s">
        <v>5</v>
      </c>
      <c r="G169" s="28">
        <v>78.73</v>
      </c>
      <c r="H169" s="32">
        <v>32.06</v>
      </c>
      <c r="I169" s="32">
        <f t="shared" ref="I169:I176" si="110">ROUND(H169*(100%+$I$7),2)</f>
        <v>39.61</v>
      </c>
      <c r="J169" s="32">
        <f t="shared" ref="J169:J176" si="111">ROUND(I169*G169,2)</f>
        <v>3118.5</v>
      </c>
      <c r="K169" s="133">
        <f t="shared" ref="K169:K176" si="112">J169/$I$22</f>
        <v>2.0767923143886762E-3</v>
      </c>
    </row>
    <row r="170" spans="2:11" ht="36" x14ac:dyDescent="0.25">
      <c r="B170" s="102" t="s">
        <v>365</v>
      </c>
      <c r="C170" s="103" t="s">
        <v>10</v>
      </c>
      <c r="D170" s="105">
        <v>104611</v>
      </c>
      <c r="E170" s="104" t="s">
        <v>290</v>
      </c>
      <c r="F170" s="101" t="s">
        <v>5</v>
      </c>
      <c r="G170" s="28">
        <v>208.3</v>
      </c>
      <c r="H170" s="32">
        <v>104.54</v>
      </c>
      <c r="I170" s="32">
        <f t="shared" si="110"/>
        <v>129.15</v>
      </c>
      <c r="J170" s="32">
        <f t="shared" si="111"/>
        <v>26901.95</v>
      </c>
      <c r="K170" s="133">
        <f t="shared" si="112"/>
        <v>1.7915588584918533E-2</v>
      </c>
    </row>
    <row r="171" spans="2:11" ht="48" x14ac:dyDescent="0.25">
      <c r="B171" s="102" t="s">
        <v>366</v>
      </c>
      <c r="C171" s="103" t="s">
        <v>10</v>
      </c>
      <c r="D171" s="105">
        <v>87547</v>
      </c>
      <c r="E171" s="104" t="s">
        <v>158</v>
      </c>
      <c r="F171" s="101" t="s">
        <v>5</v>
      </c>
      <c r="G171" s="28">
        <v>68.31</v>
      </c>
      <c r="H171" s="32">
        <v>28.24</v>
      </c>
      <c r="I171" s="32">
        <f t="shared" si="110"/>
        <v>34.89</v>
      </c>
      <c r="J171" s="32">
        <f t="shared" si="111"/>
        <v>2383.34</v>
      </c>
      <c r="K171" s="133">
        <f t="shared" si="112"/>
        <v>1.5872060909331753E-3</v>
      </c>
    </row>
    <row r="172" spans="2:11" ht="24" x14ac:dyDescent="0.25">
      <c r="B172" s="102" t="s">
        <v>367</v>
      </c>
      <c r="C172" s="103" t="s">
        <v>10</v>
      </c>
      <c r="D172" s="105">
        <v>96135</v>
      </c>
      <c r="E172" s="104" t="s">
        <v>160</v>
      </c>
      <c r="F172" s="101" t="s">
        <v>5</v>
      </c>
      <c r="G172" s="28">
        <v>1366.18</v>
      </c>
      <c r="H172" s="32">
        <v>34.700000000000003</v>
      </c>
      <c r="I172" s="32">
        <f t="shared" si="110"/>
        <v>42.87</v>
      </c>
      <c r="J172" s="32">
        <f t="shared" si="111"/>
        <v>58568.14</v>
      </c>
      <c r="K172" s="133">
        <f t="shared" si="112"/>
        <v>3.9003964412390568E-2</v>
      </c>
    </row>
    <row r="173" spans="2:11" x14ac:dyDescent="0.25">
      <c r="B173" s="102" t="s">
        <v>368</v>
      </c>
      <c r="C173" s="103" t="s">
        <v>10</v>
      </c>
      <c r="D173" s="105">
        <v>88485</v>
      </c>
      <c r="E173" s="104" t="s">
        <v>159</v>
      </c>
      <c r="F173" s="101" t="s">
        <v>5</v>
      </c>
      <c r="G173" s="28">
        <f>G172</f>
        <v>1366.18</v>
      </c>
      <c r="H173" s="32">
        <v>4.92</v>
      </c>
      <c r="I173" s="32">
        <f t="shared" ref="I173" si="113">ROUND(H173*(100%+$I$7),2)</f>
        <v>6.08</v>
      </c>
      <c r="J173" s="32">
        <f t="shared" ref="J173" si="114">ROUND(I173*G173,2)</f>
        <v>8306.3700000000008</v>
      </c>
      <c r="K173" s="133">
        <f t="shared" ref="K173" si="115">J173/$I$22</f>
        <v>5.5316996557539426E-3</v>
      </c>
    </row>
    <row r="174" spans="2:11" ht="24" x14ac:dyDescent="0.25">
      <c r="B174" s="102" t="s">
        <v>369</v>
      </c>
      <c r="C174" s="103" t="s">
        <v>41</v>
      </c>
      <c r="D174" s="105" t="s">
        <v>448</v>
      </c>
      <c r="E174" s="104" t="s">
        <v>450</v>
      </c>
      <c r="F174" s="101" t="s">
        <v>5</v>
      </c>
      <c r="G174" s="28">
        <f>455.4*2.1</f>
        <v>956.34</v>
      </c>
      <c r="H174" s="32">
        <v>76</v>
      </c>
      <c r="I174" s="32">
        <f>H174</f>
        <v>76</v>
      </c>
      <c r="J174" s="32">
        <f t="shared" si="111"/>
        <v>72681.84</v>
      </c>
      <c r="K174" s="133">
        <f t="shared" si="112"/>
        <v>4.8403106207352074E-2</v>
      </c>
    </row>
    <row r="175" spans="2:11" ht="24" x14ac:dyDescent="0.25">
      <c r="B175" s="102" t="s">
        <v>370</v>
      </c>
      <c r="C175" s="103" t="s">
        <v>10</v>
      </c>
      <c r="D175" s="105">
        <v>88489</v>
      </c>
      <c r="E175" s="104" t="s">
        <v>161</v>
      </c>
      <c r="F175" s="101" t="s">
        <v>5</v>
      </c>
      <c r="G175" s="28">
        <f>455.4*0.9</f>
        <v>409.86</v>
      </c>
      <c r="H175" s="32">
        <v>14.4</v>
      </c>
      <c r="I175" s="32">
        <f t="shared" ref="I175" si="116">ROUND(H175*(100%+$I$7),2)</f>
        <v>17.79</v>
      </c>
      <c r="J175" s="32">
        <f t="shared" ref="J175" si="117">ROUND(I175*G175,2)</f>
        <v>7291.41</v>
      </c>
      <c r="K175" s="133">
        <f t="shared" ref="K175" si="118">J175/$I$22</f>
        <v>4.8557781783090384E-3</v>
      </c>
    </row>
    <row r="176" spans="2:11" ht="24" x14ac:dyDescent="0.25">
      <c r="B176" s="102" t="s">
        <v>371</v>
      </c>
      <c r="C176" s="103" t="s">
        <v>39</v>
      </c>
      <c r="D176" s="101" t="s">
        <v>357</v>
      </c>
      <c r="E176" s="104" t="s">
        <v>356</v>
      </c>
      <c r="F176" s="101" t="s">
        <v>32</v>
      </c>
      <c r="G176" s="28">
        <f>69.2+10.3</f>
        <v>79.5</v>
      </c>
      <c r="H176" s="32">
        <v>168.86</v>
      </c>
      <c r="I176" s="32">
        <f t="shared" si="110"/>
        <v>208.61</v>
      </c>
      <c r="J176" s="32">
        <f t="shared" si="111"/>
        <v>16584.5</v>
      </c>
      <c r="K176" s="133">
        <f t="shared" si="112"/>
        <v>1.1044592636837903E-2</v>
      </c>
    </row>
    <row r="177" spans="2:11" x14ac:dyDescent="0.25">
      <c r="B177" s="157" t="s">
        <v>372</v>
      </c>
      <c r="C177" s="157"/>
      <c r="D177" s="157"/>
      <c r="E177" s="158" t="s">
        <v>251</v>
      </c>
      <c r="F177" s="158"/>
      <c r="G177" s="158"/>
      <c r="H177" s="158"/>
      <c r="I177" s="158"/>
      <c r="J177" s="99">
        <f>SUBTOTAL(9,J178:J182)</f>
        <v>34365.51</v>
      </c>
      <c r="K177" s="135">
        <f>J177/$I$22</f>
        <v>2.2886011559418693E-2</v>
      </c>
    </row>
    <row r="178" spans="2:11" ht="48" x14ac:dyDescent="0.25">
      <c r="B178" s="102" t="s">
        <v>373</v>
      </c>
      <c r="C178" s="103" t="s">
        <v>10</v>
      </c>
      <c r="D178" s="105">
        <v>87775</v>
      </c>
      <c r="E178" s="104" t="s">
        <v>291</v>
      </c>
      <c r="F178" s="101" t="s">
        <v>5</v>
      </c>
      <c r="G178" s="28">
        <v>38.64</v>
      </c>
      <c r="H178" s="32">
        <v>61.16</v>
      </c>
      <c r="I178" s="32">
        <f t="shared" ref="I178:I182" si="119">ROUND(H178*(100%+$I$7),2)</f>
        <v>75.56</v>
      </c>
      <c r="J178" s="32">
        <f t="shared" ref="J178:J182" si="120">ROUND(I178*G178,2)</f>
        <v>2919.64</v>
      </c>
      <c r="K178" s="133">
        <f t="shared" ref="K178:K182" si="121">J178/$I$22</f>
        <v>1.9443597603917761E-3</v>
      </c>
    </row>
    <row r="179" spans="2:11" x14ac:dyDescent="0.25">
      <c r="B179" s="102" t="s">
        <v>374</v>
      </c>
      <c r="C179" s="103" t="s">
        <v>10</v>
      </c>
      <c r="D179" s="105">
        <v>88485</v>
      </c>
      <c r="E179" s="104" t="s">
        <v>159</v>
      </c>
      <c r="F179" s="101" t="s">
        <v>5</v>
      </c>
      <c r="G179" s="28">
        <v>772.69</v>
      </c>
      <c r="H179" s="32">
        <v>4.92</v>
      </c>
      <c r="I179" s="32">
        <f t="shared" si="119"/>
        <v>6.08</v>
      </c>
      <c r="J179" s="32">
        <f t="shared" si="120"/>
        <v>4697.96</v>
      </c>
      <c r="K179" s="133">
        <f t="shared" si="121"/>
        <v>3.1286474976127705E-3</v>
      </c>
    </row>
    <row r="180" spans="2:11" ht="24" x14ac:dyDescent="0.25">
      <c r="B180" s="102" t="s">
        <v>560</v>
      </c>
      <c r="C180" s="103" t="s">
        <v>10</v>
      </c>
      <c r="D180" s="105">
        <v>88489</v>
      </c>
      <c r="E180" s="104" t="s">
        <v>161</v>
      </c>
      <c r="F180" s="101" t="s">
        <v>5</v>
      </c>
      <c r="G180" s="28">
        <v>772.69</v>
      </c>
      <c r="H180" s="32">
        <v>14.4</v>
      </c>
      <c r="I180" s="32">
        <f t="shared" si="119"/>
        <v>17.79</v>
      </c>
      <c r="J180" s="32">
        <f t="shared" si="120"/>
        <v>13746.16</v>
      </c>
      <c r="K180" s="133">
        <f t="shared" si="121"/>
        <v>9.1543753215831466E-3</v>
      </c>
    </row>
    <row r="181" spans="2:11" x14ac:dyDescent="0.25">
      <c r="B181" s="102" t="s">
        <v>561</v>
      </c>
      <c r="C181" s="103" t="s">
        <v>39</v>
      </c>
      <c r="D181" s="105" t="s">
        <v>404</v>
      </c>
      <c r="E181" s="104" t="s">
        <v>433</v>
      </c>
      <c r="F181" s="101" t="s">
        <v>32</v>
      </c>
      <c r="G181" s="28">
        <v>112.7</v>
      </c>
      <c r="H181" s="32">
        <v>24.05</v>
      </c>
      <c r="I181" s="32">
        <f t="shared" ref="I181" si="122">ROUND(H181*(100%+$I$7),2)</f>
        <v>29.71</v>
      </c>
      <c r="J181" s="32">
        <f t="shared" ref="J181" si="123">ROUND(I181*G181,2)</f>
        <v>3348.32</v>
      </c>
      <c r="K181" s="133">
        <f t="shared" ref="K181" si="124">J181/$I$22</f>
        <v>2.2298429508141389E-3</v>
      </c>
    </row>
    <row r="182" spans="2:11" ht="24" x14ac:dyDescent="0.25">
      <c r="B182" s="102" t="s">
        <v>562</v>
      </c>
      <c r="C182" s="103" t="s">
        <v>10</v>
      </c>
      <c r="D182" s="105">
        <v>94231</v>
      </c>
      <c r="E182" s="104" t="s">
        <v>162</v>
      </c>
      <c r="F182" s="101" t="s">
        <v>32</v>
      </c>
      <c r="G182" s="109">
        <f>124+27</f>
        <v>151</v>
      </c>
      <c r="H182" s="32">
        <v>51.75</v>
      </c>
      <c r="I182" s="32">
        <f t="shared" si="119"/>
        <v>63.93</v>
      </c>
      <c r="J182" s="32">
        <f t="shared" si="120"/>
        <v>9653.43</v>
      </c>
      <c r="K182" s="133">
        <f t="shared" si="121"/>
        <v>6.4287860290168598E-3</v>
      </c>
    </row>
    <row r="183" spans="2:11" x14ac:dyDescent="0.25">
      <c r="B183" s="157" t="s">
        <v>375</v>
      </c>
      <c r="C183" s="157"/>
      <c r="D183" s="157"/>
      <c r="E183" s="158" t="s">
        <v>407</v>
      </c>
      <c r="F183" s="158"/>
      <c r="G183" s="158"/>
      <c r="H183" s="158"/>
      <c r="I183" s="158"/>
      <c r="J183" s="99">
        <f>SUBTOTAL(9,J184:J186)</f>
        <v>15486.75</v>
      </c>
      <c r="K183" s="135">
        <f>J183/$I$22</f>
        <v>1.0313536435741167E-2</v>
      </c>
    </row>
    <row r="184" spans="2:11" ht="24" x14ac:dyDescent="0.25">
      <c r="B184" s="102" t="s">
        <v>376</v>
      </c>
      <c r="C184" s="103" t="s">
        <v>10</v>
      </c>
      <c r="D184" s="105">
        <v>102209</v>
      </c>
      <c r="E184" s="104" t="s">
        <v>391</v>
      </c>
      <c r="F184" s="101" t="s">
        <v>5</v>
      </c>
      <c r="G184" s="28">
        <f>(51.03+18.48)*2</f>
        <v>139.02000000000001</v>
      </c>
      <c r="H184" s="32">
        <v>9.81</v>
      </c>
      <c r="I184" s="32">
        <f t="shared" ref="I184:I186" si="125">ROUND(H184*(100%+$I$7),2)</f>
        <v>12.12</v>
      </c>
      <c r="J184" s="32">
        <f t="shared" ref="J184" si="126">ROUND(I184*G184,2)</f>
        <v>1684.92</v>
      </c>
      <c r="K184" s="133">
        <f t="shared" ref="K184" si="127">J184/$I$22</f>
        <v>1.1220871913932237E-3</v>
      </c>
    </row>
    <row r="185" spans="2:11" x14ac:dyDescent="0.25">
      <c r="B185" s="102" t="s">
        <v>377</v>
      </c>
      <c r="C185" s="103" t="s">
        <v>39</v>
      </c>
      <c r="D185" s="105" t="s">
        <v>406</v>
      </c>
      <c r="E185" s="104" t="s">
        <v>405</v>
      </c>
      <c r="F185" s="101" t="s">
        <v>5</v>
      </c>
      <c r="G185" s="28">
        <v>89.51</v>
      </c>
      <c r="H185" s="32">
        <v>18</v>
      </c>
      <c r="I185" s="32">
        <f t="shared" ref="I185" si="128">ROUND(H185*(100%+$I$7),2)</f>
        <v>22.24</v>
      </c>
      <c r="J185" s="32">
        <f t="shared" ref="J185" si="129">ROUND(I185*G185,2)</f>
        <v>1990.7</v>
      </c>
      <c r="K185" s="133">
        <f t="shared" ref="K185" si="130">J185/$I$22</f>
        <v>1.3257240533120209E-3</v>
      </c>
    </row>
    <row r="186" spans="2:11" x14ac:dyDescent="0.25">
      <c r="B186" s="102" t="s">
        <v>378</v>
      </c>
      <c r="C186" s="103" t="s">
        <v>39</v>
      </c>
      <c r="D186" s="105" t="s">
        <v>395</v>
      </c>
      <c r="E186" s="104" t="s">
        <v>394</v>
      </c>
      <c r="F186" s="101" t="s">
        <v>5</v>
      </c>
      <c r="G186" s="28">
        <v>194.23</v>
      </c>
      <c r="H186" s="32">
        <v>49.22</v>
      </c>
      <c r="I186" s="32">
        <f t="shared" si="125"/>
        <v>60.81</v>
      </c>
      <c r="J186" s="32">
        <f t="shared" ref="J186" si="131">ROUND(I186*G186,2)</f>
        <v>11811.13</v>
      </c>
      <c r="K186" s="133">
        <f t="shared" ref="K186" si="132">J186/$I$22</f>
        <v>7.865725191035922E-3</v>
      </c>
    </row>
    <row r="187" spans="2:11" x14ac:dyDescent="0.25">
      <c r="B187" s="157" t="s">
        <v>462</v>
      </c>
      <c r="C187" s="157"/>
      <c r="D187" s="157"/>
      <c r="E187" s="158" t="s">
        <v>163</v>
      </c>
      <c r="F187" s="158"/>
      <c r="G187" s="158"/>
      <c r="H187" s="158"/>
      <c r="I187" s="158"/>
      <c r="J187" s="99">
        <f>SUBTOTAL(9,J188:J193)</f>
        <v>48856.679999999993</v>
      </c>
      <c r="K187" s="135">
        <f>J187/$I$22</f>
        <v>3.2536532797994844E-2</v>
      </c>
    </row>
    <row r="188" spans="2:11" ht="24" x14ac:dyDescent="0.25">
      <c r="B188" s="102" t="s">
        <v>563</v>
      </c>
      <c r="C188" s="103" t="s">
        <v>10</v>
      </c>
      <c r="D188" s="105">
        <v>87882</v>
      </c>
      <c r="E188" s="104" t="s">
        <v>164</v>
      </c>
      <c r="F188" s="101" t="s">
        <v>5</v>
      </c>
      <c r="G188" s="28">
        <v>90.69</v>
      </c>
      <c r="H188" s="32">
        <v>6.6</v>
      </c>
      <c r="I188" s="32">
        <f t="shared" ref="I188:I199" si="133">ROUND(H188*(100%+$I$7),2)</f>
        <v>8.15</v>
      </c>
      <c r="J188" s="32">
        <f t="shared" ref="J188" si="134">ROUND(I188*G188,2)</f>
        <v>739.12</v>
      </c>
      <c r="K188" s="133">
        <f t="shared" ref="K188" si="135">J188/$I$22</f>
        <v>4.9222342004520063E-4</v>
      </c>
    </row>
    <row r="189" spans="2:11" ht="36" x14ac:dyDescent="0.25">
      <c r="B189" s="102" t="s">
        <v>564</v>
      </c>
      <c r="C189" s="103" t="s">
        <v>10</v>
      </c>
      <c r="D189" s="105">
        <v>90408</v>
      </c>
      <c r="E189" s="104" t="s">
        <v>165</v>
      </c>
      <c r="F189" s="101" t="s">
        <v>5</v>
      </c>
      <c r="G189" s="28">
        <v>453.45</v>
      </c>
      <c r="H189" s="32">
        <v>35.659999999999997</v>
      </c>
      <c r="I189" s="32">
        <f t="shared" si="133"/>
        <v>44.05</v>
      </c>
      <c r="J189" s="32">
        <f t="shared" ref="J189:J193" si="136">ROUND(I189*G189,2)</f>
        <v>19974.47</v>
      </c>
      <c r="K189" s="133">
        <f t="shared" ref="K189:K193" si="137">J189/$I$22</f>
        <v>1.3302172768955326E-2</v>
      </c>
    </row>
    <row r="190" spans="2:11" x14ac:dyDescent="0.25">
      <c r="B190" s="102" t="s">
        <v>565</v>
      </c>
      <c r="C190" s="103" t="s">
        <v>10</v>
      </c>
      <c r="D190" s="105">
        <v>88484</v>
      </c>
      <c r="E190" s="104" t="s">
        <v>166</v>
      </c>
      <c r="F190" s="101" t="s">
        <v>5</v>
      </c>
      <c r="G190" s="28">
        <v>453.45</v>
      </c>
      <c r="H190" s="32">
        <v>6.09</v>
      </c>
      <c r="I190" s="32">
        <f t="shared" si="133"/>
        <v>7.52</v>
      </c>
      <c r="J190" s="32">
        <f t="shared" si="136"/>
        <v>3409.94</v>
      </c>
      <c r="K190" s="133">
        <f t="shared" si="137"/>
        <v>2.270879328050833E-3</v>
      </c>
    </row>
    <row r="191" spans="2:11" x14ac:dyDescent="0.25">
      <c r="B191" s="102" t="s">
        <v>566</v>
      </c>
      <c r="C191" s="103" t="s">
        <v>10</v>
      </c>
      <c r="D191" s="105">
        <v>88494</v>
      </c>
      <c r="E191" s="104" t="s">
        <v>167</v>
      </c>
      <c r="F191" s="101" t="s">
        <v>5</v>
      </c>
      <c r="G191" s="28">
        <v>453.45</v>
      </c>
      <c r="H191" s="32">
        <v>25.55</v>
      </c>
      <c r="I191" s="32">
        <f t="shared" si="133"/>
        <v>31.56</v>
      </c>
      <c r="J191" s="32">
        <f t="shared" si="136"/>
        <v>14310.88</v>
      </c>
      <c r="K191" s="133">
        <f t="shared" si="137"/>
        <v>9.530455538283987E-3</v>
      </c>
    </row>
    <row r="192" spans="2:11" ht="24" x14ac:dyDescent="0.25">
      <c r="B192" s="102" t="s">
        <v>567</v>
      </c>
      <c r="C192" s="102" t="s">
        <v>10</v>
      </c>
      <c r="D192" s="119">
        <v>88488</v>
      </c>
      <c r="E192" s="104" t="s">
        <v>168</v>
      </c>
      <c r="F192" s="101" t="s">
        <v>5</v>
      </c>
      <c r="G192" s="28">
        <v>461.19</v>
      </c>
      <c r="H192" s="32">
        <v>17.28</v>
      </c>
      <c r="I192" s="32">
        <f t="shared" si="133"/>
        <v>21.35</v>
      </c>
      <c r="J192" s="32">
        <f t="shared" si="136"/>
        <v>9846.41</v>
      </c>
      <c r="K192" s="133">
        <f t="shared" si="137"/>
        <v>6.5573027456532961E-3</v>
      </c>
    </row>
    <row r="193" spans="2:11" x14ac:dyDescent="0.25">
      <c r="B193" s="102" t="s">
        <v>568</v>
      </c>
      <c r="C193" s="102" t="s">
        <v>10</v>
      </c>
      <c r="D193" s="119">
        <v>96109</v>
      </c>
      <c r="E193" s="104" t="s">
        <v>169</v>
      </c>
      <c r="F193" s="101" t="s">
        <v>5</v>
      </c>
      <c r="G193" s="28">
        <v>7.74</v>
      </c>
      <c r="H193" s="32">
        <v>60.22</v>
      </c>
      <c r="I193" s="32">
        <f t="shared" si="133"/>
        <v>74.400000000000006</v>
      </c>
      <c r="J193" s="32">
        <f t="shared" si="136"/>
        <v>575.86</v>
      </c>
      <c r="K193" s="133">
        <f t="shared" si="137"/>
        <v>3.8349899700620911E-4</v>
      </c>
    </row>
    <row r="194" spans="2:11" x14ac:dyDescent="0.25">
      <c r="B194" s="159">
        <v>8</v>
      </c>
      <c r="C194" s="160"/>
      <c r="D194" s="161"/>
      <c r="E194" s="162" t="s">
        <v>397</v>
      </c>
      <c r="F194" s="163"/>
      <c r="G194" s="163"/>
      <c r="H194" s="164"/>
      <c r="I194" s="100" t="s">
        <v>22</v>
      </c>
      <c r="J194" s="98">
        <f>SUBTOTAL(9,J196:J216)</f>
        <v>38702.810000000005</v>
      </c>
      <c r="K194" s="134">
        <f>J194/$I$22</f>
        <v>2.5774474379748342E-2</v>
      </c>
    </row>
    <row r="195" spans="2:11" x14ac:dyDescent="0.25">
      <c r="B195" s="157" t="s">
        <v>351</v>
      </c>
      <c r="C195" s="157"/>
      <c r="D195" s="157"/>
      <c r="E195" s="158" t="s">
        <v>396</v>
      </c>
      <c r="F195" s="158"/>
      <c r="G195" s="158"/>
      <c r="H195" s="158"/>
      <c r="I195" s="158"/>
      <c r="J195" s="99">
        <f>SUBTOTAL(9,J196:J199)</f>
        <v>6489.1299999999992</v>
      </c>
      <c r="K195" s="135">
        <f>J195/$I$22</f>
        <v>4.3214928045755933E-3</v>
      </c>
    </row>
    <row r="196" spans="2:11" x14ac:dyDescent="0.25">
      <c r="B196" s="102" t="s">
        <v>379</v>
      </c>
      <c r="C196" s="102" t="s">
        <v>39</v>
      </c>
      <c r="D196" s="105" t="s">
        <v>170</v>
      </c>
      <c r="E196" s="104" t="s">
        <v>171</v>
      </c>
      <c r="F196" s="101" t="s">
        <v>83</v>
      </c>
      <c r="G196" s="28">
        <v>5</v>
      </c>
      <c r="H196" s="32">
        <v>236.09</v>
      </c>
      <c r="I196" s="32">
        <f t="shared" si="133"/>
        <v>291.67</v>
      </c>
      <c r="J196" s="32">
        <f t="shared" ref="J196:J199" si="138">ROUND(I196*G196,2)</f>
        <v>1458.35</v>
      </c>
      <c r="K196" s="133">
        <f t="shared" ref="K196:K199" si="139">J196/$I$22</f>
        <v>9.7120092085577214E-4</v>
      </c>
    </row>
    <row r="197" spans="2:11" ht="24" x14ac:dyDescent="0.25">
      <c r="B197" s="102" t="s">
        <v>380</v>
      </c>
      <c r="C197" s="102" t="s">
        <v>39</v>
      </c>
      <c r="D197" s="105" t="s">
        <v>172</v>
      </c>
      <c r="E197" s="104" t="s">
        <v>173</v>
      </c>
      <c r="F197" s="101" t="s">
        <v>83</v>
      </c>
      <c r="G197" s="28">
        <v>7</v>
      </c>
      <c r="H197" s="32">
        <v>21.25</v>
      </c>
      <c r="I197" s="32">
        <f t="shared" si="133"/>
        <v>26.25</v>
      </c>
      <c r="J197" s="32">
        <f t="shared" si="138"/>
        <v>183.75</v>
      </c>
      <c r="K197" s="133">
        <f t="shared" si="139"/>
        <v>1.2236991751448428E-4</v>
      </c>
    </row>
    <row r="198" spans="2:11" ht="24" x14ac:dyDescent="0.25">
      <c r="B198" s="102" t="s">
        <v>381</v>
      </c>
      <c r="C198" s="102" t="s">
        <v>39</v>
      </c>
      <c r="D198" s="105" t="s">
        <v>174</v>
      </c>
      <c r="E198" s="104" t="s">
        <v>175</v>
      </c>
      <c r="F198" s="101" t="s">
        <v>83</v>
      </c>
      <c r="G198" s="28">
        <v>12</v>
      </c>
      <c r="H198" s="32">
        <v>24.28</v>
      </c>
      <c r="I198" s="32">
        <f t="shared" si="133"/>
        <v>30</v>
      </c>
      <c r="J198" s="32">
        <f t="shared" si="138"/>
        <v>360</v>
      </c>
      <c r="K198" s="133">
        <f t="shared" si="139"/>
        <v>2.3974514451817328E-4</v>
      </c>
    </row>
    <row r="199" spans="2:11" ht="24" x14ac:dyDescent="0.25">
      <c r="B199" s="102" t="s">
        <v>382</v>
      </c>
      <c r="C199" s="26" t="s">
        <v>194</v>
      </c>
      <c r="D199" s="120" t="s">
        <v>195</v>
      </c>
      <c r="E199" s="20" t="s">
        <v>197</v>
      </c>
      <c r="F199" s="21" t="s">
        <v>196</v>
      </c>
      <c r="G199" s="30">
        <v>1</v>
      </c>
      <c r="H199" s="32">
        <v>3632.05</v>
      </c>
      <c r="I199" s="32">
        <f t="shared" si="133"/>
        <v>4487.03</v>
      </c>
      <c r="J199" s="32">
        <f t="shared" si="138"/>
        <v>4487.03</v>
      </c>
      <c r="K199" s="136">
        <f t="shared" si="139"/>
        <v>2.988176821687164E-3</v>
      </c>
    </row>
    <row r="200" spans="2:11" x14ac:dyDescent="0.25">
      <c r="B200" s="157" t="s">
        <v>383</v>
      </c>
      <c r="C200" s="157"/>
      <c r="D200" s="157"/>
      <c r="E200" s="158" t="s">
        <v>276</v>
      </c>
      <c r="F200" s="158"/>
      <c r="G200" s="158"/>
      <c r="H200" s="158"/>
      <c r="I200" s="158"/>
      <c r="J200" s="99">
        <f>SUBTOTAL(9,J201:J216)</f>
        <v>32213.679999999997</v>
      </c>
      <c r="K200" s="135">
        <f>J200/$I$22</f>
        <v>2.1452981575172742E-2</v>
      </c>
    </row>
    <row r="201" spans="2:11" ht="24" x14ac:dyDescent="0.25">
      <c r="B201" s="102" t="s">
        <v>384</v>
      </c>
      <c r="C201" s="102" t="s">
        <v>10</v>
      </c>
      <c r="D201" s="125" t="s">
        <v>317</v>
      </c>
      <c r="E201" s="20" t="s">
        <v>318</v>
      </c>
      <c r="F201" s="101" t="s">
        <v>83</v>
      </c>
      <c r="G201" s="28">
        <v>100</v>
      </c>
      <c r="H201" s="32">
        <v>2.02</v>
      </c>
      <c r="I201" s="32">
        <f t="shared" ref="I201" si="140">ROUND(H201*(100%+$I$7),2)</f>
        <v>2.5</v>
      </c>
      <c r="J201" s="32">
        <f t="shared" ref="J201" si="141">ROUND(I201*G201,2)</f>
        <v>250</v>
      </c>
      <c r="K201" s="133">
        <f t="shared" ref="K201" si="142">J201/$I$22</f>
        <v>1.6648968369317588E-4</v>
      </c>
    </row>
    <row r="202" spans="2:11" ht="24" x14ac:dyDescent="0.25">
      <c r="B202" s="102" t="s">
        <v>385</v>
      </c>
      <c r="C202" s="103" t="s">
        <v>39</v>
      </c>
      <c r="D202" s="126" t="s">
        <v>319</v>
      </c>
      <c r="E202" s="104" t="s">
        <v>320</v>
      </c>
      <c r="F202" s="101" t="s">
        <v>32</v>
      </c>
      <c r="G202" s="28">
        <f>(24*4)+128</f>
        <v>224</v>
      </c>
      <c r="H202" s="32">
        <v>42.1</v>
      </c>
      <c r="I202" s="32">
        <f t="shared" ref="I202:I216" si="143">ROUND(H202*(100%+$I$7),2)</f>
        <v>52.01</v>
      </c>
      <c r="J202" s="32">
        <f t="shared" ref="J202:J216" si="144">ROUND(I202*G202,2)</f>
        <v>11650.24</v>
      </c>
      <c r="K202" s="133">
        <f t="shared" ref="K202:K216" si="145">J202/$I$22</f>
        <v>7.7585790901983417E-3</v>
      </c>
    </row>
    <row r="203" spans="2:11" x14ac:dyDescent="0.25">
      <c r="B203" s="102" t="s">
        <v>386</v>
      </c>
      <c r="C203" s="102" t="s">
        <v>10</v>
      </c>
      <c r="D203" s="127" t="s">
        <v>321</v>
      </c>
      <c r="E203" s="20" t="s">
        <v>322</v>
      </c>
      <c r="F203" s="101" t="s">
        <v>323</v>
      </c>
      <c r="G203" s="28">
        <v>4</v>
      </c>
      <c r="H203" s="32">
        <v>30</v>
      </c>
      <c r="I203" s="32">
        <f t="shared" si="143"/>
        <v>37.06</v>
      </c>
      <c r="J203" s="32">
        <f t="shared" si="144"/>
        <v>148.24</v>
      </c>
      <c r="K203" s="133">
        <f t="shared" si="145"/>
        <v>9.8721722842705579E-5</v>
      </c>
    </row>
    <row r="204" spans="2:11" ht="24" x14ac:dyDescent="0.25">
      <c r="B204" s="102" t="s">
        <v>387</v>
      </c>
      <c r="C204" s="102" t="s">
        <v>10</v>
      </c>
      <c r="D204" s="127" t="s">
        <v>324</v>
      </c>
      <c r="E204" s="111" t="s">
        <v>325</v>
      </c>
      <c r="F204" s="112" t="s">
        <v>326</v>
      </c>
      <c r="G204" s="113">
        <v>100</v>
      </c>
      <c r="H204" s="32">
        <v>0.33</v>
      </c>
      <c r="I204" s="32">
        <f t="shared" si="143"/>
        <v>0.41</v>
      </c>
      <c r="J204" s="32">
        <f t="shared" si="144"/>
        <v>41</v>
      </c>
      <c r="K204" s="133">
        <f t="shared" si="145"/>
        <v>2.7304308125680845E-5</v>
      </c>
    </row>
    <row r="205" spans="2:11" x14ac:dyDescent="0.25">
      <c r="B205" s="102" t="s">
        <v>388</v>
      </c>
      <c r="C205" s="102" t="s">
        <v>10</v>
      </c>
      <c r="D205" s="120" t="s">
        <v>327</v>
      </c>
      <c r="E205" s="111" t="s">
        <v>328</v>
      </c>
      <c r="F205" s="21" t="s">
        <v>32</v>
      </c>
      <c r="G205" s="28">
        <v>128</v>
      </c>
      <c r="H205" s="32">
        <v>49.74</v>
      </c>
      <c r="I205" s="32">
        <f t="shared" si="143"/>
        <v>61.45</v>
      </c>
      <c r="J205" s="32">
        <f t="shared" si="144"/>
        <v>7865.6</v>
      </c>
      <c r="K205" s="133">
        <f t="shared" si="145"/>
        <v>5.2381650242281771E-3</v>
      </c>
    </row>
    <row r="206" spans="2:11" ht="24" x14ac:dyDescent="0.25">
      <c r="B206" s="102" t="s">
        <v>420</v>
      </c>
      <c r="C206" s="102" t="s">
        <v>10</v>
      </c>
      <c r="D206" s="120" t="s">
        <v>329</v>
      </c>
      <c r="E206" s="111" t="s">
        <v>330</v>
      </c>
      <c r="F206" s="21" t="s">
        <v>83</v>
      </c>
      <c r="G206" s="28">
        <v>24</v>
      </c>
      <c r="H206" s="32">
        <v>113.78</v>
      </c>
      <c r="I206" s="32">
        <f t="shared" si="143"/>
        <v>140.56</v>
      </c>
      <c r="J206" s="32">
        <f t="shared" si="144"/>
        <v>3373.44</v>
      </c>
      <c r="K206" s="133">
        <f t="shared" si="145"/>
        <v>2.2465718342316292E-3</v>
      </c>
    </row>
    <row r="207" spans="2:11" ht="24" x14ac:dyDescent="0.25">
      <c r="B207" s="102" t="s">
        <v>421</v>
      </c>
      <c r="C207" s="102" t="s">
        <v>10</v>
      </c>
      <c r="D207" s="120" t="s">
        <v>331</v>
      </c>
      <c r="E207" s="111" t="s">
        <v>332</v>
      </c>
      <c r="F207" s="21" t="s">
        <v>83</v>
      </c>
      <c r="G207" s="113">
        <v>24</v>
      </c>
      <c r="H207" s="32">
        <v>18.13</v>
      </c>
      <c r="I207" s="32">
        <f t="shared" si="143"/>
        <v>22.4</v>
      </c>
      <c r="J207" s="32">
        <f t="shared" si="144"/>
        <v>537.6</v>
      </c>
      <c r="K207" s="133">
        <f t="shared" si="145"/>
        <v>3.5801941581380543E-4</v>
      </c>
    </row>
    <row r="208" spans="2:11" x14ac:dyDescent="0.25">
      <c r="B208" s="102" t="s">
        <v>422</v>
      </c>
      <c r="C208" s="102" t="s">
        <v>39</v>
      </c>
      <c r="D208" s="111" t="s">
        <v>333</v>
      </c>
      <c r="E208" s="111" t="s">
        <v>334</v>
      </c>
      <c r="F208" s="21" t="s">
        <v>83</v>
      </c>
      <c r="G208" s="113">
        <v>35</v>
      </c>
      <c r="H208" s="115">
        <v>18.190000000000001</v>
      </c>
      <c r="I208" s="32">
        <f t="shared" si="143"/>
        <v>22.47</v>
      </c>
      <c r="J208" s="32">
        <f t="shared" si="144"/>
        <v>786.45</v>
      </c>
      <c r="K208" s="133">
        <f t="shared" si="145"/>
        <v>5.2374324696199276E-4</v>
      </c>
    </row>
    <row r="209" spans="2:14" ht="24" x14ac:dyDescent="0.25">
      <c r="B209" s="102" t="s">
        <v>428</v>
      </c>
      <c r="C209" s="102" t="s">
        <v>10</v>
      </c>
      <c r="D209" s="120" t="s">
        <v>335</v>
      </c>
      <c r="E209" s="111" t="s">
        <v>336</v>
      </c>
      <c r="F209" s="21" t="s">
        <v>83</v>
      </c>
      <c r="G209" s="113">
        <v>15</v>
      </c>
      <c r="H209" s="32">
        <v>3.34</v>
      </c>
      <c r="I209" s="32">
        <f t="shared" si="143"/>
        <v>4.13</v>
      </c>
      <c r="J209" s="32">
        <f t="shared" si="144"/>
        <v>61.95</v>
      </c>
      <c r="K209" s="133">
        <f t="shared" si="145"/>
        <v>4.1256143619168986E-5</v>
      </c>
    </row>
    <row r="210" spans="2:14" ht="24" x14ac:dyDescent="0.25">
      <c r="B210" s="102" t="s">
        <v>443</v>
      </c>
      <c r="C210" s="96" t="s">
        <v>10</v>
      </c>
      <c r="D210" s="120" t="s">
        <v>337</v>
      </c>
      <c r="E210" s="23" t="s">
        <v>338</v>
      </c>
      <c r="F210" s="21" t="s">
        <v>32</v>
      </c>
      <c r="G210" s="28">
        <v>120</v>
      </c>
      <c r="H210" s="32">
        <v>18.28</v>
      </c>
      <c r="I210" s="32">
        <f t="shared" si="143"/>
        <v>22.58</v>
      </c>
      <c r="J210" s="32">
        <f t="shared" si="144"/>
        <v>2709.6</v>
      </c>
      <c r="K210" s="133">
        <f t="shared" si="145"/>
        <v>1.8044817877401176E-3</v>
      </c>
    </row>
    <row r="211" spans="2:14" ht="36" x14ac:dyDescent="0.25">
      <c r="B211" s="102" t="s">
        <v>444</v>
      </c>
      <c r="C211" s="96" t="s">
        <v>10</v>
      </c>
      <c r="D211" s="120" t="s">
        <v>339</v>
      </c>
      <c r="E211" s="23" t="s">
        <v>340</v>
      </c>
      <c r="F211" s="21" t="s">
        <v>83</v>
      </c>
      <c r="G211" s="28">
        <v>24</v>
      </c>
      <c r="H211" s="32">
        <v>87.82</v>
      </c>
      <c r="I211" s="32">
        <f t="shared" si="143"/>
        <v>108.49</v>
      </c>
      <c r="J211" s="32">
        <f t="shared" si="144"/>
        <v>2603.7600000000002</v>
      </c>
      <c r="K211" s="133">
        <f t="shared" si="145"/>
        <v>1.7339967152517747E-3</v>
      </c>
    </row>
    <row r="212" spans="2:14" ht="24" x14ac:dyDescent="0.25">
      <c r="B212" s="102" t="s">
        <v>445</v>
      </c>
      <c r="C212" s="96" t="s">
        <v>39</v>
      </c>
      <c r="D212" s="120" t="s">
        <v>341</v>
      </c>
      <c r="E212" s="23" t="s">
        <v>342</v>
      </c>
      <c r="F212" s="21" t="s">
        <v>83</v>
      </c>
      <c r="G212" s="28">
        <v>50</v>
      </c>
      <c r="H212" s="32">
        <v>27.41</v>
      </c>
      <c r="I212" s="32">
        <f t="shared" si="143"/>
        <v>33.86</v>
      </c>
      <c r="J212" s="32">
        <f t="shared" si="144"/>
        <v>1693</v>
      </c>
      <c r="K212" s="133">
        <f t="shared" si="145"/>
        <v>1.1274681379701871E-3</v>
      </c>
    </row>
    <row r="213" spans="2:14" ht="24" x14ac:dyDescent="0.25">
      <c r="B213" s="102" t="s">
        <v>569</v>
      </c>
      <c r="C213" s="116" t="s">
        <v>10</v>
      </c>
      <c r="D213" s="120" t="s">
        <v>343</v>
      </c>
      <c r="E213" s="23" t="s">
        <v>344</v>
      </c>
      <c r="F213" s="21" t="s">
        <v>83</v>
      </c>
      <c r="G213" s="28">
        <v>200</v>
      </c>
      <c r="H213" s="32">
        <v>0.23</v>
      </c>
      <c r="I213" s="32">
        <f t="shared" si="143"/>
        <v>0.28000000000000003</v>
      </c>
      <c r="J213" s="32">
        <f t="shared" si="144"/>
        <v>56</v>
      </c>
      <c r="K213" s="133">
        <f t="shared" si="145"/>
        <v>3.7293689147271398E-5</v>
      </c>
    </row>
    <row r="214" spans="2:14" ht="24" x14ac:dyDescent="0.25">
      <c r="B214" s="102" t="s">
        <v>570</v>
      </c>
      <c r="C214" s="96" t="s">
        <v>10</v>
      </c>
      <c r="D214" s="120" t="s">
        <v>345</v>
      </c>
      <c r="E214" s="23" t="s">
        <v>346</v>
      </c>
      <c r="F214" s="21" t="s">
        <v>83</v>
      </c>
      <c r="G214" s="28">
        <v>600</v>
      </c>
      <c r="H214" s="32">
        <v>0.05</v>
      </c>
      <c r="I214" s="32">
        <f t="shared" si="143"/>
        <v>0.06</v>
      </c>
      <c r="J214" s="32">
        <f t="shared" si="144"/>
        <v>36</v>
      </c>
      <c r="K214" s="133">
        <f t="shared" si="145"/>
        <v>2.3974514451817329E-5</v>
      </c>
    </row>
    <row r="215" spans="2:14" x14ac:dyDescent="0.25">
      <c r="B215" s="102" t="s">
        <v>571</v>
      </c>
      <c r="C215" s="96" t="s">
        <v>10</v>
      </c>
      <c r="D215" s="120" t="s">
        <v>347</v>
      </c>
      <c r="E215" s="23" t="s">
        <v>348</v>
      </c>
      <c r="F215" s="21" t="s">
        <v>83</v>
      </c>
      <c r="G215" s="28">
        <v>600</v>
      </c>
      <c r="H215" s="32">
        <v>0.32</v>
      </c>
      <c r="I215" s="32">
        <f t="shared" si="143"/>
        <v>0.4</v>
      </c>
      <c r="J215" s="32">
        <f t="shared" si="144"/>
        <v>240</v>
      </c>
      <c r="K215" s="133">
        <f t="shared" si="145"/>
        <v>1.5983009634544886E-4</v>
      </c>
    </row>
    <row r="216" spans="2:14" ht="24" x14ac:dyDescent="0.25">
      <c r="B216" s="102" t="s">
        <v>572</v>
      </c>
      <c r="C216" s="96" t="s">
        <v>10</v>
      </c>
      <c r="D216" s="128" t="s">
        <v>349</v>
      </c>
      <c r="E216" s="23" t="s">
        <v>350</v>
      </c>
      <c r="F216" s="21" t="s">
        <v>83</v>
      </c>
      <c r="G216" s="117">
        <v>24</v>
      </c>
      <c r="H216" s="32">
        <v>5.42</v>
      </c>
      <c r="I216" s="32">
        <f t="shared" si="143"/>
        <v>6.7</v>
      </c>
      <c r="J216" s="32">
        <f t="shared" si="144"/>
        <v>160.80000000000001</v>
      </c>
      <c r="K216" s="133">
        <f t="shared" si="145"/>
        <v>1.0708616455145074E-4</v>
      </c>
    </row>
    <row r="217" spans="2:14" x14ac:dyDescent="0.25">
      <c r="B217" s="159">
        <v>9</v>
      </c>
      <c r="C217" s="160"/>
      <c r="D217" s="161"/>
      <c r="E217" s="162" t="s">
        <v>176</v>
      </c>
      <c r="F217" s="163"/>
      <c r="G217" s="163"/>
      <c r="H217" s="164"/>
      <c r="I217" s="100" t="s">
        <v>22</v>
      </c>
      <c r="J217" s="98">
        <f>SUBTOTAL(9,J218:J219)</f>
        <v>3447.8599999999997</v>
      </c>
      <c r="K217" s="134">
        <f>J217/$I$22</f>
        <v>2.2961324832734137E-3</v>
      </c>
    </row>
    <row r="218" spans="2:14" x14ac:dyDescent="0.25">
      <c r="B218" s="102" t="s">
        <v>573</v>
      </c>
      <c r="C218" s="102" t="s">
        <v>39</v>
      </c>
      <c r="D218" s="102" t="s">
        <v>177</v>
      </c>
      <c r="E218" s="104" t="s">
        <v>178</v>
      </c>
      <c r="F218" s="101" t="s">
        <v>5</v>
      </c>
      <c r="G218" s="28">
        <f>1.5*3</f>
        <v>4.5</v>
      </c>
      <c r="H218" s="32">
        <v>325.91000000000003</v>
      </c>
      <c r="I218" s="32">
        <f t="shared" ref="I218:I219" si="146">ROUND(H218*(100%+$I$7),2)</f>
        <v>402.63</v>
      </c>
      <c r="J218" s="32">
        <f t="shared" ref="J218" si="147">ROUND(I218*G218,2)</f>
        <v>1811.84</v>
      </c>
      <c r="K218" s="133">
        <f t="shared" ref="K218" si="148">J218/$I$22</f>
        <v>1.2066106740105751E-3</v>
      </c>
    </row>
    <row r="219" spans="2:14" x14ac:dyDescent="0.25">
      <c r="B219" s="102" t="s">
        <v>574</v>
      </c>
      <c r="C219" s="102" t="s">
        <v>39</v>
      </c>
      <c r="D219" s="103" t="s">
        <v>179</v>
      </c>
      <c r="E219" s="104" t="s">
        <v>180</v>
      </c>
      <c r="F219" s="101" t="s">
        <v>32</v>
      </c>
      <c r="G219" s="28">
        <f>2*3</f>
        <v>6</v>
      </c>
      <c r="H219" s="32">
        <v>220.71</v>
      </c>
      <c r="I219" s="32">
        <f t="shared" si="146"/>
        <v>272.67</v>
      </c>
      <c r="J219" s="32">
        <f t="shared" ref="J219" si="149">ROUND(I219*G219,2)</f>
        <v>1636.02</v>
      </c>
      <c r="K219" s="133">
        <f t="shared" ref="K219" si="150">J219/$I$22</f>
        <v>1.0895218092628386E-3</v>
      </c>
    </row>
    <row r="220" spans="2:14" x14ac:dyDescent="0.25">
      <c r="B220" s="159">
        <v>10</v>
      </c>
      <c r="C220" s="160"/>
      <c r="D220" s="161"/>
      <c r="E220" s="162" t="s">
        <v>11</v>
      </c>
      <c r="F220" s="163"/>
      <c r="G220" s="163"/>
      <c r="H220" s="164"/>
      <c r="I220" s="100" t="s">
        <v>22</v>
      </c>
      <c r="J220" s="98">
        <f>SUBTOTAL(9,J221:J222)</f>
        <v>13722.5</v>
      </c>
      <c r="K220" s="134">
        <f>J220/I22</f>
        <v>9.1386187379184254E-3</v>
      </c>
    </row>
    <row r="221" spans="2:14" x14ac:dyDescent="0.25">
      <c r="B221" s="25" t="s">
        <v>389</v>
      </c>
      <c r="C221" s="96" t="s">
        <v>39</v>
      </c>
      <c r="D221" s="123" t="s">
        <v>275</v>
      </c>
      <c r="E221" s="23" t="s">
        <v>274</v>
      </c>
      <c r="F221" s="24" t="s">
        <v>5</v>
      </c>
      <c r="G221" s="22">
        <v>520</v>
      </c>
      <c r="H221" s="33">
        <v>15</v>
      </c>
      <c r="I221" s="32">
        <f t="shared" ref="I221:I222" si="151">ROUND(H221*(100%+$I$7),2)</f>
        <v>18.53</v>
      </c>
      <c r="J221" s="32">
        <f t="shared" ref="J221" si="152">ROUND(I221*G221,2)</f>
        <v>9635.6</v>
      </c>
      <c r="K221" s="133">
        <f>J221/$I$22</f>
        <v>6.4169119847758624E-3</v>
      </c>
    </row>
    <row r="222" spans="2:14" ht="24" x14ac:dyDescent="0.25">
      <c r="B222" s="25" t="s">
        <v>390</v>
      </c>
      <c r="C222" s="96" t="s">
        <v>39</v>
      </c>
      <c r="D222" s="124" t="s">
        <v>33</v>
      </c>
      <c r="E222" s="23" t="s">
        <v>34</v>
      </c>
      <c r="F222" s="24" t="s">
        <v>4</v>
      </c>
      <c r="G222" s="22">
        <v>30</v>
      </c>
      <c r="H222" s="33">
        <v>110.27</v>
      </c>
      <c r="I222" s="32">
        <f t="shared" si="151"/>
        <v>136.22999999999999</v>
      </c>
      <c r="J222" s="32">
        <f t="shared" ref="J222" si="153">ROUND(I222*G222,2)</f>
        <v>4086.9</v>
      </c>
      <c r="K222" s="133">
        <f>J222/$I$22</f>
        <v>2.7217067531425622E-3</v>
      </c>
      <c r="N222" s="29"/>
    </row>
    <row r="223" spans="2:14" ht="15.75" thickBot="1" x14ac:dyDescent="0.3">
      <c r="B223" s="4"/>
      <c r="C223" s="4"/>
      <c r="D223" s="4"/>
      <c r="E223" s="4"/>
      <c r="F223" s="4"/>
      <c r="G223" s="4"/>
      <c r="H223" s="34"/>
      <c r="I223" s="34"/>
      <c r="J223" s="34"/>
      <c r="K223" s="9"/>
    </row>
    <row r="224" spans="2:14" ht="15.75" thickBot="1" x14ac:dyDescent="0.3">
      <c r="B224" s="165" t="s">
        <v>13</v>
      </c>
      <c r="C224" s="166"/>
      <c r="D224" s="166"/>
      <c r="E224" s="166"/>
      <c r="F224" s="166"/>
      <c r="G224" s="166"/>
      <c r="H224" s="166"/>
      <c r="I224" s="167"/>
      <c r="J224" s="168">
        <f>SUBTOTAL(9,J25:J222)</f>
        <v>1501594.5399999998</v>
      </c>
      <c r="K224" s="169"/>
    </row>
    <row r="225" spans="2:11" x14ac:dyDescent="0.25">
      <c r="B225" t="s">
        <v>575</v>
      </c>
    </row>
    <row r="227" spans="2:11" ht="15.75" thickBot="1" x14ac:dyDescent="0.3">
      <c r="E227" s="7"/>
    </row>
    <row r="228" spans="2:11" x14ac:dyDescent="0.25">
      <c r="E228" s="145" t="s">
        <v>467</v>
      </c>
      <c r="F228" s="146">
        <v>1155489.24</v>
      </c>
    </row>
    <row r="229" spans="2:11" ht="18.75" customHeight="1" x14ac:dyDescent="0.25">
      <c r="E229" s="147" t="s">
        <v>468</v>
      </c>
      <c r="F229" s="148">
        <v>1501594.54</v>
      </c>
    </row>
    <row r="230" spans="2:11" ht="18" customHeight="1" thickBot="1" x14ac:dyDescent="0.3">
      <c r="E230" s="149" t="s">
        <v>469</v>
      </c>
      <c r="F230" s="150" t="s">
        <v>470</v>
      </c>
    </row>
    <row r="231" spans="2:11" ht="30" customHeight="1" x14ac:dyDescent="0.25">
      <c r="B231" s="170" t="s">
        <v>579</v>
      </c>
      <c r="C231" s="170"/>
      <c r="D231" s="170"/>
      <c r="E231" s="170"/>
      <c r="F231" s="170"/>
      <c r="G231" s="170"/>
      <c r="H231" s="170"/>
      <c r="I231" s="170"/>
      <c r="J231" s="170"/>
      <c r="K231" s="170"/>
    </row>
    <row r="232" spans="2:11" x14ac:dyDescent="0.25">
      <c r="B232" s="170"/>
      <c r="C232" s="170"/>
      <c r="D232" s="170"/>
      <c r="E232" s="170"/>
      <c r="F232" s="170"/>
      <c r="G232" s="170"/>
      <c r="H232" s="170"/>
      <c r="I232" s="170"/>
      <c r="J232" s="170"/>
      <c r="K232" s="170"/>
    </row>
    <row r="233" spans="2:11" x14ac:dyDescent="0.25">
      <c r="B233" s="171"/>
      <c r="C233" s="171"/>
      <c r="D233" s="171"/>
      <c r="E233" s="171"/>
      <c r="F233" s="171"/>
      <c r="G233" s="171"/>
      <c r="H233" s="36"/>
      <c r="I233" s="41"/>
      <c r="J233" s="36"/>
    </row>
    <row r="234" spans="2:11" x14ac:dyDescent="0.25">
      <c r="E234" s="18" t="s">
        <v>21</v>
      </c>
      <c r="G234" s="155" t="s">
        <v>37</v>
      </c>
      <c r="H234" s="155"/>
      <c r="I234" s="155"/>
      <c r="J234" s="6"/>
      <c r="K234" s="6"/>
    </row>
    <row r="235" spans="2:11" x14ac:dyDescent="0.25">
      <c r="E235" s="19" t="s">
        <v>40</v>
      </c>
      <c r="F235" s="7"/>
      <c r="G235" s="156" t="s">
        <v>577</v>
      </c>
      <c r="H235" s="156"/>
      <c r="I235" s="156"/>
      <c r="J235" s="143"/>
      <c r="K235" s="143"/>
    </row>
  </sheetData>
  <mergeCells count="113">
    <mergeCell ref="J11:K11"/>
    <mergeCell ref="J12:K12"/>
    <mergeCell ref="J17:K17"/>
    <mergeCell ref="J14:K14"/>
    <mergeCell ref="D14:H14"/>
    <mergeCell ref="B14:C14"/>
    <mergeCell ref="D15:H15"/>
    <mergeCell ref="J16:K16"/>
    <mergeCell ref="D12:H12"/>
    <mergeCell ref="B12:C12"/>
    <mergeCell ref="B17:C17"/>
    <mergeCell ref="D17:H17"/>
    <mergeCell ref="B16:C16"/>
    <mergeCell ref="D16:H16"/>
    <mergeCell ref="B1:J1"/>
    <mergeCell ref="B9:J9"/>
    <mergeCell ref="E4:K4"/>
    <mergeCell ref="E5:K5"/>
    <mergeCell ref="E2:K2"/>
    <mergeCell ref="E3:K3"/>
    <mergeCell ref="B7:C7"/>
    <mergeCell ref="B8:C8"/>
    <mergeCell ref="B6:I6"/>
    <mergeCell ref="J6:J7"/>
    <mergeCell ref="D7:G7"/>
    <mergeCell ref="D8:G8"/>
    <mergeCell ref="B2:D5"/>
    <mergeCell ref="B10:K10"/>
    <mergeCell ref="J15:K15"/>
    <mergeCell ref="J13:K13"/>
    <mergeCell ref="B95:D95"/>
    <mergeCell ref="B18:C18"/>
    <mergeCell ref="J20:K20"/>
    <mergeCell ref="E25:H25"/>
    <mergeCell ref="E56:I56"/>
    <mergeCell ref="B25:D25"/>
    <mergeCell ref="B59:D59"/>
    <mergeCell ref="J21:K21"/>
    <mergeCell ref="J18:K18"/>
    <mergeCell ref="J19:K19"/>
    <mergeCell ref="B20:C20"/>
    <mergeCell ref="D20:H20"/>
    <mergeCell ref="D18:H18"/>
    <mergeCell ref="B21:C21"/>
    <mergeCell ref="B13:C13"/>
    <mergeCell ref="D13:H13"/>
    <mergeCell ref="B15:C15"/>
    <mergeCell ref="B19:C19"/>
    <mergeCell ref="D19:H19"/>
    <mergeCell ref="B11:C11"/>
    <mergeCell ref="D11:H11"/>
    <mergeCell ref="B183:D183"/>
    <mergeCell ref="E183:I183"/>
    <mergeCell ref="B23:J23"/>
    <mergeCell ref="B121:D121"/>
    <mergeCell ref="E121:I121"/>
    <mergeCell ref="B148:D148"/>
    <mergeCell ref="E148:H148"/>
    <mergeCell ref="B134:D134"/>
    <mergeCell ref="E134:I134"/>
    <mergeCell ref="B137:D137"/>
    <mergeCell ref="C24:D24"/>
    <mergeCell ref="E27:H27"/>
    <mergeCell ref="B30:D30"/>
    <mergeCell ref="E30:H30"/>
    <mergeCell ref="J224:K224"/>
    <mergeCell ref="B231:K232"/>
    <mergeCell ref="B233:G233"/>
    <mergeCell ref="D21:H21"/>
    <mergeCell ref="B56:D56"/>
    <mergeCell ref="B55:D55"/>
    <mergeCell ref="E55:H55"/>
    <mergeCell ref="B53:D53"/>
    <mergeCell ref="J22:K22"/>
    <mergeCell ref="B22:H22"/>
    <mergeCell ref="B98:D98"/>
    <mergeCell ref="E98:I98"/>
    <mergeCell ref="E53:H53"/>
    <mergeCell ref="B27:D27"/>
    <mergeCell ref="B82:D82"/>
    <mergeCell ref="E82:I82"/>
    <mergeCell ref="B91:D91"/>
    <mergeCell ref="E91:I91"/>
    <mergeCell ref="E95:H95"/>
    <mergeCell ref="B96:D96"/>
    <mergeCell ref="E96:I96"/>
    <mergeCell ref="B63:D63"/>
    <mergeCell ref="E63:I63"/>
    <mergeCell ref="E59:I59"/>
    <mergeCell ref="G234:I234"/>
    <mergeCell ref="G235:I235"/>
    <mergeCell ref="B187:D187"/>
    <mergeCell ref="E187:I187"/>
    <mergeCell ref="B194:D194"/>
    <mergeCell ref="E194:H194"/>
    <mergeCell ref="B217:D217"/>
    <mergeCell ref="E217:H217"/>
    <mergeCell ref="E137:I137"/>
    <mergeCell ref="B149:D149"/>
    <mergeCell ref="E149:I149"/>
    <mergeCell ref="B155:D155"/>
    <mergeCell ref="E155:I155"/>
    <mergeCell ref="B168:D168"/>
    <mergeCell ref="E168:I168"/>
    <mergeCell ref="B177:D177"/>
    <mergeCell ref="E177:I177"/>
    <mergeCell ref="E200:I200"/>
    <mergeCell ref="B195:D195"/>
    <mergeCell ref="E195:I195"/>
    <mergeCell ref="B224:I224"/>
    <mergeCell ref="B220:D220"/>
    <mergeCell ref="E220:H220"/>
    <mergeCell ref="B200:D200"/>
  </mergeCells>
  <phoneticPr fontId="26" type="noConversion"/>
  <conditionalFormatting sqref="B28:B29 B31:B52 B54 B57:B58 B60:B62 B64:B81 B223">
    <cfRule type="expression" dxfId="33" priority="230" stopIfTrue="1">
      <formula>#REF!=1</formula>
    </cfRule>
  </conditionalFormatting>
  <conditionalFormatting sqref="B83:B90 B97 B122:B133 B135:B136">
    <cfRule type="expression" dxfId="32" priority="187" stopIfTrue="1">
      <formula>#REF!=1</formula>
    </cfRule>
  </conditionalFormatting>
  <conditionalFormatting sqref="B138:B147">
    <cfRule type="expression" dxfId="31" priority="56" stopIfTrue="1">
      <formula>#REF!=1</formula>
    </cfRule>
  </conditionalFormatting>
  <conditionalFormatting sqref="B150:B154 D150:D154 B156:B167 D159:D161 D163:D166">
    <cfRule type="expression" dxfId="30" priority="205" stopIfTrue="1">
      <formula>#REF!=1</formula>
    </cfRule>
  </conditionalFormatting>
  <conditionalFormatting sqref="B184:B186 B188:B193 B196:B199">
    <cfRule type="expression" dxfId="29" priority="24" stopIfTrue="1">
      <formula>#REF!=1</formula>
    </cfRule>
  </conditionalFormatting>
  <conditionalFormatting sqref="B201:B216">
    <cfRule type="expression" dxfId="28" priority="8" stopIfTrue="1">
      <formula>#REF!=1</formula>
    </cfRule>
  </conditionalFormatting>
  <conditionalFormatting sqref="B221:B222">
    <cfRule type="expression" dxfId="27" priority="75" stopIfTrue="1">
      <formula>#REF!=1</formula>
    </cfRule>
  </conditionalFormatting>
  <conditionalFormatting sqref="D26 B92:B94 B99:B120 F107:F110 F112:F118 D169:D171 B169:B176 B178:B182 B218:B219">
    <cfRule type="expression" dxfId="26" priority="100" stopIfTrue="1">
      <formula>#REF!=1</formula>
    </cfRule>
  </conditionalFormatting>
  <conditionalFormatting sqref="D93:D94">
    <cfRule type="expression" dxfId="25" priority="36" stopIfTrue="1">
      <formula>#REF!=1</formula>
    </cfRule>
  </conditionalFormatting>
  <conditionalFormatting sqref="D120">
    <cfRule type="expression" dxfId="24" priority="60" stopIfTrue="1">
      <formula>#REF!=1</formula>
    </cfRule>
  </conditionalFormatting>
  <conditionalFormatting sqref="D122">
    <cfRule type="expression" dxfId="23" priority="214" stopIfTrue="1">
      <formula>#REF!=1</formula>
    </cfRule>
  </conditionalFormatting>
  <conditionalFormatting sqref="D124">
    <cfRule type="expression" dxfId="22" priority="14" stopIfTrue="1">
      <formula>#REF!=1</formula>
    </cfRule>
  </conditionalFormatting>
  <conditionalFormatting sqref="D156:D157">
    <cfRule type="expression" dxfId="21" priority="1" stopIfTrue="1">
      <formula>#REF!=1</formula>
    </cfRule>
  </conditionalFormatting>
  <conditionalFormatting sqref="D199">
    <cfRule type="expression" dxfId="20" priority="10" stopIfTrue="1">
      <formula>#REF!=1</formula>
    </cfRule>
  </conditionalFormatting>
  <conditionalFormatting sqref="D207 D209">
    <cfRule type="expression" dxfId="19" priority="3" stopIfTrue="1">
      <formula>#REF!=1</formula>
    </cfRule>
  </conditionalFormatting>
  <conditionalFormatting sqref="D219">
    <cfRule type="expression" dxfId="18" priority="32" stopIfTrue="1">
      <formula>#REF!=1</formula>
    </cfRule>
  </conditionalFormatting>
  <conditionalFormatting sqref="F133">
    <cfRule type="expression" dxfId="17" priority="108" stopIfTrue="1">
      <formula>#REF!=1</formula>
    </cfRule>
  </conditionalFormatting>
  <conditionalFormatting sqref="F135:F136 D138 F138">
    <cfRule type="expression" dxfId="16" priority="107" stopIfTrue="1">
      <formula>#REF!=1</formula>
    </cfRule>
  </conditionalFormatting>
  <conditionalFormatting sqref="G157">
    <cfRule type="cellIs" dxfId="15" priority="2" stopIfTrue="1" operator="equal">
      <formula>0</formula>
    </cfRule>
  </conditionalFormatting>
  <conditionalFormatting sqref="G204">
    <cfRule type="cellIs" dxfId="14" priority="4" stopIfTrue="1" operator="equal">
      <formula>0</formula>
    </cfRule>
  </conditionalFormatting>
  <conditionalFormatting sqref="G207:G209">
    <cfRule type="cellIs" dxfId="13" priority="7" stopIfTrue="1" operator="equal">
      <formula>0</formula>
    </cfRule>
  </conditionalFormatting>
  <conditionalFormatting sqref="G216">
    <cfRule type="expression" dxfId="12" priority="5" stopIfTrue="1">
      <formula>#REF!=1</formula>
    </cfRule>
  </conditionalFormatting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8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61"/>
  <sheetViews>
    <sheetView view="pageBreakPreview" topLeftCell="A16" zoomScale="90" zoomScaleNormal="90" zoomScaleSheetLayoutView="90" workbookViewId="0">
      <selection activeCell="I51" sqref="I51"/>
    </sheetView>
  </sheetViews>
  <sheetFormatPr defaultRowHeight="15" x14ac:dyDescent="0.25"/>
  <cols>
    <col min="1" max="1" width="1.7109375" customWidth="1"/>
    <col min="2" max="2" width="7" customWidth="1"/>
    <col min="3" max="3" width="9.5703125" customWidth="1"/>
    <col min="4" max="4" width="8.7109375" customWidth="1"/>
    <col min="5" max="5" width="64.28515625" customWidth="1"/>
    <col min="6" max="6" width="6.42578125" customWidth="1"/>
    <col min="7" max="7" width="12.85546875" hidden="1" customWidth="1"/>
    <col min="8" max="8" width="19.42578125" customWidth="1"/>
    <col min="9" max="10" width="20.7109375" customWidth="1"/>
    <col min="11" max="12" width="22.140625" customWidth="1"/>
    <col min="13" max="14" width="20.7109375" customWidth="1"/>
  </cols>
  <sheetData>
    <row r="1" spans="2:14" x14ac:dyDescent="0.25"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2:14" ht="24.75" customHeight="1" x14ac:dyDescent="0.25">
      <c r="B2" s="189"/>
      <c r="C2" s="189"/>
      <c r="D2" s="189"/>
      <c r="E2" s="222" t="str">
        <f>ORÇ.!E2</f>
        <v>PREFEITURA MUNICIPAL DE MOGI GUAÇU - SP</v>
      </c>
      <c r="F2" s="223"/>
      <c r="G2" s="223"/>
      <c r="H2" s="223"/>
      <c r="I2" s="223"/>
      <c r="J2" s="223"/>
      <c r="K2" s="223"/>
      <c r="L2" s="223"/>
      <c r="M2" s="223"/>
      <c r="N2" s="224"/>
    </row>
    <row r="3" spans="2:14" ht="17.25" customHeight="1" x14ac:dyDescent="0.25">
      <c r="B3" s="189"/>
      <c r="C3" s="189"/>
      <c r="D3" s="189"/>
      <c r="E3" s="225" t="s">
        <v>23</v>
      </c>
      <c r="F3" s="226"/>
      <c r="G3" s="226"/>
      <c r="H3" s="226"/>
      <c r="I3" s="226"/>
      <c r="J3" s="226"/>
      <c r="K3" s="226"/>
      <c r="L3" s="226"/>
      <c r="M3" s="226"/>
      <c r="N3" s="227"/>
    </row>
    <row r="4" spans="2:14" ht="20.25" customHeight="1" x14ac:dyDescent="0.25">
      <c r="B4" s="189"/>
      <c r="C4" s="189"/>
      <c r="D4" s="189"/>
      <c r="E4" s="228" t="s">
        <v>30</v>
      </c>
      <c r="F4" s="229"/>
      <c r="G4" s="229"/>
      <c r="H4" s="229"/>
      <c r="I4" s="229"/>
      <c r="J4" s="229"/>
      <c r="K4" s="229"/>
      <c r="L4" s="229"/>
      <c r="M4" s="229"/>
      <c r="N4" s="230"/>
    </row>
    <row r="5" spans="2:14" ht="20.25" customHeight="1" x14ac:dyDescent="0.25">
      <c r="B5" s="189"/>
      <c r="C5" s="189"/>
      <c r="D5" s="189"/>
      <c r="E5" s="228" t="s">
        <v>31</v>
      </c>
      <c r="F5" s="229"/>
      <c r="G5" s="229"/>
      <c r="H5" s="229"/>
      <c r="I5" s="229"/>
      <c r="J5" s="229"/>
      <c r="K5" s="229"/>
      <c r="L5" s="229"/>
      <c r="M5" s="229"/>
      <c r="N5" s="230"/>
    </row>
    <row r="6" spans="2:14" ht="15.75" customHeight="1" x14ac:dyDescent="0.25">
      <c r="B6" s="219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1"/>
      <c r="N6" s="151"/>
    </row>
    <row r="7" spans="2:14" ht="27.75" customHeight="1" x14ac:dyDescent="0.25">
      <c r="B7" s="218" t="s">
        <v>14</v>
      </c>
      <c r="C7" s="218"/>
      <c r="D7" s="207" t="str">
        <f>ORÇ.!D7</f>
        <v>CONCLUSÃO DA REFORMA E CONSTRUÇÃO (AMPLIAÇÃO) DA UBS YPÊ AMARELO</v>
      </c>
      <c r="E7" s="207"/>
      <c r="F7" s="207"/>
      <c r="G7" s="207"/>
      <c r="H7" s="137" t="str">
        <f>ORÇ.!H7</f>
        <v>BDI:</v>
      </c>
      <c r="I7" s="138">
        <f>ORÇ.!I7</f>
        <v>0.2354</v>
      </c>
      <c r="J7" s="137" t="str">
        <f>ORÇ.!J6</f>
        <v>Sem Desoneração Fonte:</v>
      </c>
      <c r="K7" s="139" t="str">
        <f>ORÇ.!K7</f>
        <v>CDHU 196</v>
      </c>
      <c r="L7" s="139" t="str">
        <f>ORÇ.!K6</f>
        <v>FDE 01/2024</v>
      </c>
      <c r="M7" s="114"/>
      <c r="N7" s="152"/>
    </row>
    <row r="8" spans="2:14" ht="30" customHeight="1" x14ac:dyDescent="0.25">
      <c r="B8" s="218" t="s">
        <v>15</v>
      </c>
      <c r="C8" s="218"/>
      <c r="D8" s="202" t="str">
        <f>ORÇ.!D8</f>
        <v>RUA GEORGINA THEODORO DE OLIVEIRA COM A RUA MARIA TEREZA VEDOVELLO - MOGI GUAÇU - SP.</v>
      </c>
      <c r="E8" s="202"/>
      <c r="F8" s="202"/>
      <c r="G8" s="202"/>
      <c r="H8" s="137" t="str">
        <f>ORÇ.!H8</f>
        <v>Atualizado:</v>
      </c>
      <c r="I8" s="140">
        <f ca="1">TODAY()</f>
        <v>45693</v>
      </c>
      <c r="J8" s="139" t="str">
        <f>ORÇ.!J8</f>
        <v>SIURB 07/2024</v>
      </c>
      <c r="K8" s="139" t="str">
        <f>ORÇ.!K8</f>
        <v>SINAPI - SETEMBRO 2024</v>
      </c>
      <c r="L8" s="139"/>
      <c r="M8" s="114"/>
      <c r="N8" s="152"/>
    </row>
    <row r="9" spans="2:14" x14ac:dyDescent="0.25"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2:14" ht="25.5" customHeight="1" x14ac:dyDescent="0.25">
      <c r="B10" s="217" t="s">
        <v>3</v>
      </c>
      <c r="C10" s="217"/>
      <c r="D10" s="217" t="s">
        <v>1</v>
      </c>
      <c r="E10" s="217"/>
      <c r="F10" s="217"/>
      <c r="G10" s="217"/>
      <c r="H10" s="144" t="s">
        <v>24</v>
      </c>
      <c r="I10" s="144" t="s">
        <v>27</v>
      </c>
      <c r="J10" s="144" t="s">
        <v>28</v>
      </c>
      <c r="K10" s="144" t="s">
        <v>29</v>
      </c>
      <c r="L10" s="144" t="s">
        <v>76</v>
      </c>
      <c r="M10" s="144" t="s">
        <v>454</v>
      </c>
      <c r="N10" s="144" t="s">
        <v>455</v>
      </c>
    </row>
    <row r="11" spans="2:14" x14ac:dyDescent="0.25">
      <c r="B11" s="213">
        <f>ORÇ.!B12</f>
        <v>1</v>
      </c>
      <c r="C11" s="213"/>
      <c r="D11" s="216" t="str">
        <f>ORÇ.!D12</f>
        <v>SERVIÇOS PRELIMINARES</v>
      </c>
      <c r="E11" s="216"/>
      <c r="F11" s="216"/>
      <c r="G11" s="216"/>
      <c r="H11" s="12">
        <f t="shared" ref="H11:N11" si="0">H13/$H$43</f>
        <v>1.2099118314588438E-2</v>
      </c>
      <c r="I11" s="12">
        <f t="shared" si="0"/>
        <v>2.0165197190980732E-3</v>
      </c>
      <c r="J11" s="12">
        <f t="shared" si="0"/>
        <v>2.0165197190980732E-3</v>
      </c>
      <c r="K11" s="12">
        <f t="shared" si="0"/>
        <v>2.0165197190980732E-3</v>
      </c>
      <c r="L11" s="12">
        <f t="shared" si="0"/>
        <v>2.0165197190980732E-3</v>
      </c>
      <c r="M11" s="12">
        <f t="shared" si="0"/>
        <v>2.0165197190980732E-3</v>
      </c>
      <c r="N11" s="12">
        <f t="shared" si="0"/>
        <v>2.0165197190980732E-3</v>
      </c>
    </row>
    <row r="12" spans="2:14" x14ac:dyDescent="0.25">
      <c r="B12" s="213"/>
      <c r="C12" s="213"/>
      <c r="D12" s="216"/>
      <c r="E12" s="216"/>
      <c r="F12" s="216"/>
      <c r="G12" s="216"/>
      <c r="H12" s="13"/>
      <c r="I12" s="13"/>
      <c r="J12" s="13"/>
      <c r="K12" s="13"/>
      <c r="L12" s="13"/>
      <c r="M12" s="13"/>
      <c r="N12" s="13"/>
    </row>
    <row r="13" spans="2:14" x14ac:dyDescent="0.25">
      <c r="B13" s="213"/>
      <c r="C13" s="213"/>
      <c r="D13" s="216"/>
      <c r="E13" s="216"/>
      <c r="F13" s="216"/>
      <c r="G13" s="216"/>
      <c r="H13" s="15">
        <f>ORÇ.!I12</f>
        <v>18167.97</v>
      </c>
      <c r="I13" s="15">
        <f>$H$13/6</f>
        <v>3027.9950000000003</v>
      </c>
      <c r="J13" s="15">
        <f t="shared" ref="J13:N13" si="1">$H$13/6</f>
        <v>3027.9950000000003</v>
      </c>
      <c r="K13" s="15">
        <f t="shared" si="1"/>
        <v>3027.9950000000003</v>
      </c>
      <c r="L13" s="15">
        <f t="shared" si="1"/>
        <v>3027.9950000000003</v>
      </c>
      <c r="M13" s="15">
        <f t="shared" si="1"/>
        <v>3027.9950000000003</v>
      </c>
      <c r="N13" s="15">
        <f t="shared" si="1"/>
        <v>3027.9950000000003</v>
      </c>
    </row>
    <row r="14" spans="2:14" x14ac:dyDescent="0.25">
      <c r="B14" s="213">
        <f>ORÇ.!B13</f>
        <v>2</v>
      </c>
      <c r="C14" s="213"/>
      <c r="D14" s="216" t="str">
        <f>ORÇ.!D13</f>
        <v>ALVENARIA DE FECHAMENTO E ALVENARIA DE VEDAÇÃO</v>
      </c>
      <c r="E14" s="216"/>
      <c r="F14" s="216"/>
      <c r="G14" s="216"/>
      <c r="H14" s="12">
        <f>H16/$H$43</f>
        <v>8.2989846247043478E-3</v>
      </c>
      <c r="I14" s="12">
        <f>I16/$H$43</f>
        <v>0</v>
      </c>
      <c r="J14" s="12">
        <f>J16/$H$43</f>
        <v>0</v>
      </c>
      <c r="K14" s="12">
        <f>K16/$H$43</f>
        <v>2.074746156176087E-3</v>
      </c>
      <c r="L14" s="12">
        <f>L16/$H$43</f>
        <v>2.074746156176087E-3</v>
      </c>
      <c r="M14" s="12">
        <f t="shared" ref="M14:N14" si="2">M16/$H$43</f>
        <v>2.074746156176087E-3</v>
      </c>
      <c r="N14" s="12">
        <f t="shared" si="2"/>
        <v>2.074746156176087E-3</v>
      </c>
    </row>
    <row r="15" spans="2:14" x14ac:dyDescent="0.25">
      <c r="B15" s="213"/>
      <c r="C15" s="213"/>
      <c r="D15" s="216"/>
      <c r="E15" s="216"/>
      <c r="F15" s="216"/>
      <c r="G15" s="216"/>
      <c r="H15" s="14"/>
      <c r="I15" s="14"/>
      <c r="J15" s="14"/>
      <c r="K15" s="14"/>
      <c r="L15" s="14"/>
      <c r="M15" s="14"/>
      <c r="N15" s="14"/>
    </row>
    <row r="16" spans="2:14" x14ac:dyDescent="0.25">
      <c r="B16" s="213"/>
      <c r="C16" s="213"/>
      <c r="D16" s="216"/>
      <c r="E16" s="216"/>
      <c r="F16" s="216"/>
      <c r="G16" s="216"/>
      <c r="H16" s="15">
        <f>ORÇ.!I13</f>
        <v>12461.71</v>
      </c>
      <c r="I16" s="15"/>
      <c r="J16" s="15"/>
      <c r="K16" s="15">
        <f t="shared" ref="K16:N16" si="3">$H$16/4</f>
        <v>3115.4274999999998</v>
      </c>
      <c r="L16" s="15">
        <f t="shared" si="3"/>
        <v>3115.4274999999998</v>
      </c>
      <c r="M16" s="15">
        <f t="shared" si="3"/>
        <v>3115.4274999999998</v>
      </c>
      <c r="N16" s="15">
        <f t="shared" si="3"/>
        <v>3115.4274999999998</v>
      </c>
    </row>
    <row r="17" spans="2:14" x14ac:dyDescent="0.25">
      <c r="B17" s="213">
        <f>ORÇ.!B14</f>
        <v>3</v>
      </c>
      <c r="C17" s="213"/>
      <c r="D17" s="216" t="str">
        <f>ORÇ.!D14</f>
        <v>ESQUADRIAS (PORTAS E JANELAS)</v>
      </c>
      <c r="E17" s="216"/>
      <c r="F17" s="216"/>
      <c r="G17" s="216"/>
      <c r="H17" s="12">
        <f t="shared" ref="H17:N17" si="4">H19/$H$43</f>
        <v>0.14948922230364531</v>
      </c>
      <c r="I17" s="12">
        <f t="shared" si="4"/>
        <v>3.7372305575911327E-2</v>
      </c>
      <c r="J17" s="12">
        <f t="shared" si="4"/>
        <v>3.7372305575911327E-2</v>
      </c>
      <c r="K17" s="12">
        <f t="shared" si="4"/>
        <v>3.7372305575911327E-2</v>
      </c>
      <c r="L17" s="12">
        <f t="shared" si="4"/>
        <v>3.7372305575911327E-2</v>
      </c>
      <c r="M17" s="12">
        <f t="shared" si="4"/>
        <v>0</v>
      </c>
      <c r="N17" s="12">
        <f t="shared" si="4"/>
        <v>0</v>
      </c>
    </row>
    <row r="18" spans="2:14" x14ac:dyDescent="0.25">
      <c r="B18" s="213"/>
      <c r="C18" s="213"/>
      <c r="D18" s="216"/>
      <c r="E18" s="216"/>
      <c r="F18" s="216"/>
      <c r="G18" s="216"/>
      <c r="H18" s="14"/>
      <c r="I18" s="14"/>
      <c r="J18" s="14"/>
      <c r="K18" s="14"/>
      <c r="L18" s="14"/>
      <c r="M18" s="14"/>
      <c r="N18" s="14"/>
    </row>
    <row r="19" spans="2:14" x14ac:dyDescent="0.25">
      <c r="B19" s="213"/>
      <c r="C19" s="213"/>
      <c r="D19" s="216"/>
      <c r="E19" s="216"/>
      <c r="F19" s="216"/>
      <c r="G19" s="216"/>
      <c r="H19" s="15">
        <f>ORÇ.!I14</f>
        <v>224472.2</v>
      </c>
      <c r="I19" s="15">
        <f>$H$19/4</f>
        <v>56118.05</v>
      </c>
      <c r="J19" s="15">
        <f>$H$19/4</f>
        <v>56118.05</v>
      </c>
      <c r="K19" s="15">
        <f>$H$19/4</f>
        <v>56118.05</v>
      </c>
      <c r="L19" s="15">
        <f>$H$19/4</f>
        <v>56118.05</v>
      </c>
      <c r="M19" s="15"/>
      <c r="N19" s="15"/>
    </row>
    <row r="20" spans="2:14" x14ac:dyDescent="0.25">
      <c r="B20" s="213">
        <f>ORÇ.!B15</f>
        <v>4</v>
      </c>
      <c r="C20" s="213"/>
      <c r="D20" s="216" t="str">
        <f>ORÇ.!D15</f>
        <v xml:space="preserve">COBERTURA </v>
      </c>
      <c r="E20" s="216"/>
      <c r="F20" s="216"/>
      <c r="G20" s="216"/>
      <c r="H20" s="12">
        <f t="shared" ref="H20:N20" si="5">H22/$H$43</f>
        <v>4.1491893011278529E-3</v>
      </c>
      <c r="I20" s="12">
        <f t="shared" si="5"/>
        <v>0</v>
      </c>
      <c r="J20" s="12">
        <f t="shared" si="5"/>
        <v>0</v>
      </c>
      <c r="K20" s="12">
        <f t="shared" si="5"/>
        <v>0</v>
      </c>
      <c r="L20" s="12">
        <f t="shared" si="5"/>
        <v>2.0745946505639264E-3</v>
      </c>
      <c r="M20" s="12">
        <f t="shared" si="5"/>
        <v>2.0745946505639264E-3</v>
      </c>
      <c r="N20" s="12">
        <f t="shared" si="5"/>
        <v>0</v>
      </c>
    </row>
    <row r="21" spans="2:14" x14ac:dyDescent="0.25">
      <c r="B21" s="213"/>
      <c r="C21" s="213"/>
      <c r="D21" s="216"/>
      <c r="E21" s="216"/>
      <c r="F21" s="216"/>
      <c r="G21" s="216"/>
      <c r="H21" s="16"/>
      <c r="I21" s="16"/>
      <c r="J21" s="16"/>
      <c r="K21" s="16"/>
      <c r="L21" s="16"/>
      <c r="M21" s="16"/>
      <c r="N21" s="16"/>
    </row>
    <row r="22" spans="2:14" x14ac:dyDescent="0.25">
      <c r="B22" s="213"/>
      <c r="C22" s="213"/>
      <c r="D22" s="216"/>
      <c r="E22" s="216"/>
      <c r="F22" s="216"/>
      <c r="G22" s="216"/>
      <c r="H22" s="17">
        <f>ORÇ.!I15</f>
        <v>6230.4</v>
      </c>
      <c r="I22" s="17"/>
      <c r="J22" s="17"/>
      <c r="K22" s="17"/>
      <c r="L22" s="17">
        <f>$H$22/2</f>
        <v>3115.2</v>
      </c>
      <c r="M22" s="17">
        <f>$H$22/2</f>
        <v>3115.2</v>
      </c>
      <c r="N22" s="17"/>
    </row>
    <row r="23" spans="2:14" x14ac:dyDescent="0.25">
      <c r="B23" s="213">
        <f>ORÇ.!B16</f>
        <v>5</v>
      </c>
      <c r="C23" s="213"/>
      <c r="D23" s="216" t="str">
        <f>ORÇ.!D16</f>
        <v>INSTALAÇÕES HIDRÁULICAS</v>
      </c>
      <c r="E23" s="216"/>
      <c r="F23" s="216"/>
      <c r="G23" s="216"/>
      <c r="H23" s="12">
        <f t="shared" ref="H23:N23" si="6">H25/$H$43</f>
        <v>0.14560681607166739</v>
      </c>
      <c r="I23" s="12">
        <f t="shared" si="6"/>
        <v>7.2803408035833697E-2</v>
      </c>
      <c r="J23" s="12">
        <f t="shared" si="6"/>
        <v>7.2803408035833697E-2</v>
      </c>
      <c r="K23" s="12">
        <f t="shared" si="6"/>
        <v>0</v>
      </c>
      <c r="L23" s="12">
        <f t="shared" si="6"/>
        <v>0</v>
      </c>
      <c r="M23" s="12">
        <f t="shared" si="6"/>
        <v>0</v>
      </c>
      <c r="N23" s="12">
        <f t="shared" si="6"/>
        <v>0</v>
      </c>
    </row>
    <row r="24" spans="2:14" x14ac:dyDescent="0.25">
      <c r="B24" s="213"/>
      <c r="C24" s="213"/>
      <c r="D24" s="216"/>
      <c r="E24" s="216"/>
      <c r="F24" s="216"/>
      <c r="G24" s="216"/>
      <c r="H24" s="11"/>
      <c r="I24" s="11"/>
      <c r="J24" s="11"/>
      <c r="K24" s="11"/>
      <c r="L24" s="11"/>
      <c r="M24" s="11"/>
      <c r="N24" s="11"/>
    </row>
    <row r="25" spans="2:14" x14ac:dyDescent="0.25">
      <c r="B25" s="213"/>
      <c r="C25" s="213"/>
      <c r="D25" s="216"/>
      <c r="E25" s="216"/>
      <c r="F25" s="216"/>
      <c r="G25" s="216"/>
      <c r="H25" s="17">
        <f>ORÇ.!I16</f>
        <v>218642.40000000002</v>
      </c>
      <c r="I25" s="17">
        <f t="shared" ref="I25:J25" si="7">$H$25/2</f>
        <v>109321.20000000001</v>
      </c>
      <c r="J25" s="17">
        <f t="shared" si="7"/>
        <v>109321.20000000001</v>
      </c>
      <c r="K25" s="17"/>
      <c r="L25" s="17"/>
      <c r="M25" s="17"/>
      <c r="N25" s="17"/>
    </row>
    <row r="26" spans="2:14" x14ac:dyDescent="0.25">
      <c r="B26" s="213">
        <f>ORÇ.!B17</f>
        <v>6</v>
      </c>
      <c r="C26" s="213"/>
      <c r="D26" s="216" t="str">
        <f>ORÇ.!D17</f>
        <v xml:space="preserve">INSTALAÇÕES ELÉTRICAS </v>
      </c>
      <c r="E26" s="216"/>
      <c r="F26" s="216"/>
      <c r="G26" s="216"/>
      <c r="H26" s="12">
        <f t="shared" ref="H26:N26" si="8">H28/$H$43</f>
        <v>0.16066893796776857</v>
      </c>
      <c r="I26" s="12">
        <f t="shared" si="8"/>
        <v>0</v>
      </c>
      <c r="J26" s="12">
        <f t="shared" si="8"/>
        <v>0</v>
      </c>
      <c r="K26" s="12">
        <f t="shared" si="8"/>
        <v>0</v>
      </c>
      <c r="L26" s="12">
        <f t="shared" si="8"/>
        <v>5.3556312655922859E-2</v>
      </c>
      <c r="M26" s="12">
        <f t="shared" si="8"/>
        <v>5.3556312655922859E-2</v>
      </c>
      <c r="N26" s="12">
        <f t="shared" si="8"/>
        <v>5.3556312655922859E-2</v>
      </c>
    </row>
    <row r="27" spans="2:14" x14ac:dyDescent="0.25">
      <c r="B27" s="213"/>
      <c r="C27" s="213"/>
      <c r="D27" s="216"/>
      <c r="E27" s="216"/>
      <c r="F27" s="216"/>
      <c r="G27" s="216"/>
      <c r="H27" s="11"/>
      <c r="I27" s="11"/>
      <c r="J27" s="11"/>
      <c r="K27" s="11"/>
      <c r="L27" s="11"/>
      <c r="M27" s="11"/>
      <c r="N27" s="11"/>
    </row>
    <row r="28" spans="2:14" x14ac:dyDescent="0.25">
      <c r="B28" s="213"/>
      <c r="C28" s="213"/>
      <c r="D28" s="216"/>
      <c r="E28" s="216"/>
      <c r="F28" s="216"/>
      <c r="G28" s="216"/>
      <c r="H28" s="15">
        <f>ORÇ.!I17</f>
        <v>241259.6</v>
      </c>
      <c r="I28" s="15"/>
      <c r="J28" s="15"/>
      <c r="K28" s="15"/>
      <c r="L28" s="15">
        <f>$H$28/3</f>
        <v>80419.866666666669</v>
      </c>
      <c r="M28" s="15">
        <f t="shared" ref="M28:N28" si="9">$H$28/3</f>
        <v>80419.866666666669</v>
      </c>
      <c r="N28" s="15">
        <f t="shared" si="9"/>
        <v>80419.866666666669</v>
      </c>
    </row>
    <row r="29" spans="2:14" x14ac:dyDescent="0.25">
      <c r="B29" s="213">
        <f>ORÇ.!B18</f>
        <v>7</v>
      </c>
      <c r="C29" s="213"/>
      <c r="D29" s="216" t="str">
        <f>ORÇ.!D18</f>
        <v>REVESTIMENTOS</v>
      </c>
      <c r="E29" s="216"/>
      <c r="F29" s="216"/>
      <c r="G29" s="216"/>
      <c r="H29" s="12">
        <f t="shared" ref="H29:N29" si="10">H31/$H$43</f>
        <v>0.48247850581555796</v>
      </c>
      <c r="I29" s="12">
        <f t="shared" si="10"/>
        <v>0</v>
      </c>
      <c r="J29" s="12">
        <f t="shared" si="10"/>
        <v>0</v>
      </c>
      <c r="K29" s="12">
        <f t="shared" si="10"/>
        <v>0.12061962645388949</v>
      </c>
      <c r="L29" s="12">
        <f t="shared" si="10"/>
        <v>0.12061962645388949</v>
      </c>
      <c r="M29" s="12">
        <f t="shared" si="10"/>
        <v>0.12061962645388949</v>
      </c>
      <c r="N29" s="12">
        <f t="shared" si="10"/>
        <v>0.12061962645388949</v>
      </c>
    </row>
    <row r="30" spans="2:14" x14ac:dyDescent="0.25">
      <c r="B30" s="213"/>
      <c r="C30" s="213"/>
      <c r="D30" s="216"/>
      <c r="E30" s="216"/>
      <c r="F30" s="216"/>
      <c r="G30" s="216"/>
      <c r="H30" s="15"/>
      <c r="I30" s="15"/>
      <c r="J30" s="15"/>
      <c r="K30" s="15"/>
      <c r="L30" s="15"/>
      <c r="M30" s="15"/>
      <c r="N30" s="15"/>
    </row>
    <row r="31" spans="2:14" x14ac:dyDescent="0.25">
      <c r="B31" s="213"/>
      <c r="C31" s="213"/>
      <c r="D31" s="216"/>
      <c r="E31" s="216"/>
      <c r="F31" s="216"/>
      <c r="G31" s="216"/>
      <c r="H31" s="15">
        <f>ORÇ.!I18</f>
        <v>724487.09000000008</v>
      </c>
      <c r="I31" s="15"/>
      <c r="J31" s="15"/>
      <c r="K31" s="15">
        <f>$H$31/4</f>
        <v>181121.77250000002</v>
      </c>
      <c r="L31" s="15">
        <f>$H$31/4</f>
        <v>181121.77250000002</v>
      </c>
      <c r="M31" s="15">
        <f>$H$31/4</f>
        <v>181121.77250000002</v>
      </c>
      <c r="N31" s="15">
        <f>$H$31/4</f>
        <v>181121.77250000002</v>
      </c>
    </row>
    <row r="32" spans="2:14" x14ac:dyDescent="0.25">
      <c r="B32" s="213">
        <f>ORÇ.!B19</f>
        <v>8</v>
      </c>
      <c r="C32" s="213"/>
      <c r="D32" s="216" t="str">
        <f>ORÇ.!D19</f>
        <v>PREVENÇÃO E COMBATE A INCÊNDIO E SPDA</v>
      </c>
      <c r="E32" s="216"/>
      <c r="F32" s="216"/>
      <c r="G32" s="216"/>
      <c r="H32" s="12">
        <f t="shared" ref="H32:N32" si="11">H34/$H$43</f>
        <v>2.5774474379748346E-2</v>
      </c>
      <c r="I32" s="12">
        <f t="shared" si="11"/>
        <v>0</v>
      </c>
      <c r="J32" s="12">
        <f t="shared" si="11"/>
        <v>0</v>
      </c>
      <c r="K32" s="12">
        <f t="shared" si="11"/>
        <v>0</v>
      </c>
      <c r="L32" s="12">
        <f t="shared" si="11"/>
        <v>1.2887237189874173E-2</v>
      </c>
      <c r="M32" s="12">
        <f t="shared" si="11"/>
        <v>1.2887237189874173E-2</v>
      </c>
      <c r="N32" s="12">
        <f t="shared" si="11"/>
        <v>0</v>
      </c>
    </row>
    <row r="33" spans="2:14" x14ac:dyDescent="0.25">
      <c r="B33" s="213"/>
      <c r="C33" s="213"/>
      <c r="D33" s="216"/>
      <c r="E33" s="216"/>
      <c r="F33" s="216"/>
      <c r="G33" s="216"/>
      <c r="H33" s="14"/>
      <c r="I33" s="14"/>
      <c r="J33" s="14"/>
      <c r="K33" s="14"/>
      <c r="L33" s="14"/>
      <c r="M33" s="14"/>
      <c r="N33" s="14"/>
    </row>
    <row r="34" spans="2:14" x14ac:dyDescent="0.25">
      <c r="B34" s="213"/>
      <c r="C34" s="213"/>
      <c r="D34" s="216"/>
      <c r="E34" s="216"/>
      <c r="F34" s="216"/>
      <c r="G34" s="216"/>
      <c r="H34" s="15">
        <f>ORÇ.!I19</f>
        <v>38702.810000000005</v>
      </c>
      <c r="I34" s="15"/>
      <c r="J34" s="15"/>
      <c r="K34" s="15"/>
      <c r="L34" s="15">
        <f>$H$34/2</f>
        <v>19351.405000000002</v>
      </c>
      <c r="M34" s="15">
        <f>$H$34/2</f>
        <v>19351.405000000002</v>
      </c>
      <c r="N34" s="15"/>
    </row>
    <row r="35" spans="2:14" x14ac:dyDescent="0.25">
      <c r="B35" s="213">
        <f>ORÇ.!B20</f>
        <v>9</v>
      </c>
      <c r="C35" s="213"/>
      <c r="D35" s="216" t="str">
        <f>ORÇ.!D20</f>
        <v>COMUNICAÇÃO VISUAL E DIVERSOS</v>
      </c>
      <c r="E35" s="216"/>
      <c r="F35" s="216"/>
      <c r="G35" s="216"/>
      <c r="H35" s="12">
        <f t="shared" ref="H35:N35" si="12">H37/$H$43</f>
        <v>2.2961324832734137E-3</v>
      </c>
      <c r="I35" s="12">
        <f t="shared" si="12"/>
        <v>0</v>
      </c>
      <c r="J35" s="12">
        <f t="shared" si="12"/>
        <v>0</v>
      </c>
      <c r="K35" s="12">
        <f t="shared" si="12"/>
        <v>0</v>
      </c>
      <c r="L35" s="12">
        <f t="shared" si="12"/>
        <v>0</v>
      </c>
      <c r="M35" s="12">
        <f t="shared" si="12"/>
        <v>0</v>
      </c>
      <c r="N35" s="12">
        <f t="shared" si="12"/>
        <v>2.2961324832734137E-3</v>
      </c>
    </row>
    <row r="36" spans="2:14" x14ac:dyDescent="0.25">
      <c r="B36" s="213"/>
      <c r="C36" s="213"/>
      <c r="D36" s="216"/>
      <c r="E36" s="216"/>
      <c r="F36" s="216"/>
      <c r="G36" s="216"/>
      <c r="H36" s="15"/>
      <c r="I36" s="15"/>
      <c r="J36" s="15"/>
      <c r="K36" s="15"/>
      <c r="L36" s="15"/>
      <c r="M36" s="15"/>
      <c r="N36" s="15"/>
    </row>
    <row r="37" spans="2:14" x14ac:dyDescent="0.25">
      <c r="B37" s="213"/>
      <c r="C37" s="213"/>
      <c r="D37" s="216"/>
      <c r="E37" s="216"/>
      <c r="F37" s="216"/>
      <c r="G37" s="216"/>
      <c r="H37" s="15">
        <f>ORÇ.!I20</f>
        <v>3447.8599999999997</v>
      </c>
      <c r="I37" s="15"/>
      <c r="J37" s="15"/>
      <c r="K37" s="15"/>
      <c r="L37" s="15"/>
      <c r="M37" s="15"/>
      <c r="N37" s="15">
        <f>H37</f>
        <v>3447.8599999999997</v>
      </c>
    </row>
    <row r="38" spans="2:14" x14ac:dyDescent="0.25">
      <c r="B38" s="213">
        <f>ORÇ.!B21</f>
        <v>10</v>
      </c>
      <c r="C38" s="213"/>
      <c r="D38" s="216" t="str">
        <f>ORÇ.!D21</f>
        <v>LIMPEZA FINAL</v>
      </c>
      <c r="E38" s="216"/>
      <c r="F38" s="216"/>
      <c r="G38" s="216"/>
      <c r="H38" s="12">
        <f t="shared" ref="H38:N38" si="13">H40/$H$43</f>
        <v>9.1386187379184254E-3</v>
      </c>
      <c r="I38" s="12">
        <f t="shared" si="13"/>
        <v>0</v>
      </c>
      <c r="J38" s="12">
        <f t="shared" si="13"/>
        <v>0</v>
      </c>
      <c r="K38" s="12">
        <f t="shared" si="13"/>
        <v>0</v>
      </c>
      <c r="L38" s="12">
        <f t="shared" si="13"/>
        <v>0</v>
      </c>
      <c r="M38" s="12">
        <f t="shared" si="13"/>
        <v>4.5693093689592127E-3</v>
      </c>
      <c r="N38" s="12">
        <f t="shared" si="13"/>
        <v>4.5693093689592127E-3</v>
      </c>
    </row>
    <row r="39" spans="2:14" x14ac:dyDescent="0.25">
      <c r="B39" s="213"/>
      <c r="C39" s="213"/>
      <c r="D39" s="216"/>
      <c r="E39" s="216"/>
      <c r="F39" s="216"/>
      <c r="G39" s="216"/>
      <c r="H39" s="15"/>
      <c r="I39" s="15"/>
      <c r="J39" s="15"/>
      <c r="K39" s="15"/>
      <c r="L39" s="15"/>
      <c r="M39" s="15"/>
      <c r="N39" s="15"/>
    </row>
    <row r="40" spans="2:14" x14ac:dyDescent="0.25">
      <c r="B40" s="213"/>
      <c r="C40" s="213"/>
      <c r="D40" s="216"/>
      <c r="E40" s="216"/>
      <c r="F40" s="216"/>
      <c r="G40" s="216"/>
      <c r="H40" s="15">
        <f>ORÇ.!I21</f>
        <v>13722.5</v>
      </c>
      <c r="I40" s="15"/>
      <c r="J40" s="15"/>
      <c r="K40" s="15"/>
      <c r="L40" s="15"/>
      <c r="M40" s="15">
        <f>$H$40/2</f>
        <v>6861.25</v>
      </c>
      <c r="N40" s="15">
        <f>$H$40/2</f>
        <v>6861.25</v>
      </c>
    </row>
    <row r="41" spans="2:14" ht="15.75" thickBot="1" x14ac:dyDescent="0.3">
      <c r="B41" s="90"/>
      <c r="C41" s="90"/>
      <c r="D41" s="91"/>
      <c r="E41" s="91"/>
      <c r="F41" s="91"/>
      <c r="G41" s="91"/>
      <c r="H41" s="92"/>
      <c r="I41" s="92"/>
      <c r="J41" s="92"/>
      <c r="K41" s="92"/>
      <c r="L41" s="92"/>
    </row>
    <row r="42" spans="2:14" ht="15.75" thickBot="1" x14ac:dyDescent="0.3">
      <c r="B42" s="235" t="s">
        <v>25</v>
      </c>
      <c r="C42" s="236"/>
      <c r="D42" s="236"/>
      <c r="E42" s="236"/>
      <c r="F42" s="236"/>
      <c r="G42" s="236"/>
      <c r="H42" s="8">
        <f>SUM(H38,H35,H32,H29,H26,H23,H20,H17,H14,H11,)</f>
        <v>1</v>
      </c>
      <c r="I42" s="154">
        <f t="shared" ref="I42:N42" si="14">I43/$H$43</f>
        <v>0.11219223333084309</v>
      </c>
      <c r="J42" s="154">
        <f t="shared" si="14"/>
        <v>0.11219223333084309</v>
      </c>
      <c r="K42" s="154">
        <f t="shared" si="14"/>
        <v>0.16208319790507494</v>
      </c>
      <c r="L42" s="154">
        <f t="shared" si="14"/>
        <v>0.23060134240143593</v>
      </c>
      <c r="M42" s="154">
        <f t="shared" si="14"/>
        <v>0.1977983461944838</v>
      </c>
      <c r="N42" s="154">
        <f t="shared" si="14"/>
        <v>0.18513264683731909</v>
      </c>
    </row>
    <row r="43" spans="2:14" ht="15.75" thickBot="1" x14ac:dyDescent="0.3">
      <c r="B43" s="237"/>
      <c r="C43" s="238"/>
      <c r="D43" s="238"/>
      <c r="E43" s="238"/>
      <c r="F43" s="238"/>
      <c r="G43" s="238"/>
      <c r="H43" s="232">
        <f t="shared" ref="H43:N43" si="15">SUBTOTAL(9,H40,H37,H34,H31,H28,H25,H22,H19,H16,H13)</f>
        <v>1501594.54</v>
      </c>
      <c r="I43" s="153">
        <f t="shared" si="15"/>
        <v>168467.245</v>
      </c>
      <c r="J43" s="153">
        <f t="shared" si="15"/>
        <v>168467.245</v>
      </c>
      <c r="K43" s="153">
        <f t="shared" si="15"/>
        <v>243383.245</v>
      </c>
      <c r="L43" s="153">
        <f t="shared" si="15"/>
        <v>346269.71666666667</v>
      </c>
      <c r="M43" s="153">
        <f t="shared" si="15"/>
        <v>297012.91666666669</v>
      </c>
      <c r="N43" s="153">
        <f t="shared" si="15"/>
        <v>277994.17166666663</v>
      </c>
    </row>
    <row r="44" spans="2:14" x14ac:dyDescent="0.25">
      <c r="B44" s="239" t="s">
        <v>26</v>
      </c>
      <c r="C44" s="240"/>
      <c r="D44" s="240"/>
      <c r="E44" s="240"/>
      <c r="F44" s="240"/>
      <c r="G44" s="240"/>
      <c r="H44" s="233"/>
      <c r="I44" s="95">
        <f>I45/$H$43</f>
        <v>0.11219223333084309</v>
      </c>
      <c r="J44" s="95">
        <f>I44+J42</f>
        <v>0.22438446666168618</v>
      </c>
      <c r="K44" s="95">
        <f t="shared" ref="K44:N44" si="16">J44+K42</f>
        <v>0.38646766456676113</v>
      </c>
      <c r="L44" s="95">
        <f t="shared" si="16"/>
        <v>0.617069006968197</v>
      </c>
      <c r="M44" s="95">
        <f t="shared" si="16"/>
        <v>0.81486735316268077</v>
      </c>
      <c r="N44" s="95">
        <f t="shared" si="16"/>
        <v>0.99999999999999989</v>
      </c>
    </row>
    <row r="45" spans="2:14" ht="15.75" thickBot="1" x14ac:dyDescent="0.3">
      <c r="B45" s="241"/>
      <c r="C45" s="242"/>
      <c r="D45" s="242"/>
      <c r="E45" s="242"/>
      <c r="F45" s="242"/>
      <c r="G45" s="242"/>
      <c r="H45" s="234"/>
      <c r="I45" s="93">
        <f>I43</f>
        <v>168467.245</v>
      </c>
      <c r="J45" s="94">
        <f>I45+J43</f>
        <v>336934.49</v>
      </c>
      <c r="K45" s="94">
        <f t="shared" ref="K45:M45" si="17">J45+K43</f>
        <v>580317.73499999999</v>
      </c>
      <c r="L45" s="94">
        <f t="shared" si="17"/>
        <v>926587.45166666666</v>
      </c>
      <c r="M45" s="94">
        <f t="shared" si="17"/>
        <v>1223600.3683333334</v>
      </c>
      <c r="N45" s="94">
        <f>M45+N43</f>
        <v>1501594.54</v>
      </c>
    </row>
    <row r="47" spans="2:14" x14ac:dyDescent="0.25"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N47" s="215"/>
    </row>
    <row r="48" spans="2:14" x14ac:dyDescent="0.25"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N48" s="215"/>
    </row>
    <row r="49" spans="2:14" x14ac:dyDescent="0.25">
      <c r="B49" s="212" t="s">
        <v>579</v>
      </c>
      <c r="C49" s="212"/>
      <c r="D49" s="212"/>
      <c r="E49" s="212"/>
      <c r="F49" s="212"/>
      <c r="G49" s="212"/>
      <c r="N49" s="212"/>
    </row>
    <row r="50" spans="2:14" x14ac:dyDescent="0.25">
      <c r="B50" s="212"/>
      <c r="C50" s="212"/>
      <c r="D50" s="212"/>
      <c r="E50" s="212"/>
      <c r="F50" s="212"/>
      <c r="G50" s="212"/>
      <c r="N50" s="212"/>
    </row>
    <row r="51" spans="2:14" ht="15.75" x14ac:dyDescent="0.25">
      <c r="F51" s="141" t="s">
        <v>21</v>
      </c>
      <c r="G51" s="141"/>
      <c r="H51" s="141"/>
      <c r="I51" s="141"/>
      <c r="J51" s="155" t="s">
        <v>37</v>
      </c>
      <c r="K51" s="155"/>
      <c r="L51" s="155"/>
      <c r="M51" s="6"/>
    </row>
    <row r="52" spans="2:14" ht="15.75" x14ac:dyDescent="0.25">
      <c r="F52" s="214" t="s">
        <v>456</v>
      </c>
      <c r="G52" s="214"/>
      <c r="H52" s="214"/>
      <c r="I52" s="142"/>
      <c r="J52" s="156" t="s">
        <v>576</v>
      </c>
      <c r="K52" s="156"/>
      <c r="L52" s="156"/>
      <c r="M52" s="143"/>
    </row>
    <row r="53" spans="2:14" ht="15.75" x14ac:dyDescent="0.25">
      <c r="B53" s="5"/>
      <c r="C53" s="5"/>
      <c r="D53" s="5"/>
      <c r="E53" s="5"/>
      <c r="F53" s="5"/>
      <c r="G53" s="5"/>
      <c r="H53" s="231"/>
      <c r="I53" s="231"/>
      <c r="J53" s="231"/>
      <c r="K53" s="231"/>
    </row>
    <row r="54" spans="2:14" x14ac:dyDescent="0.25">
      <c r="B54" s="6"/>
      <c r="C54" s="6"/>
      <c r="D54" s="6"/>
      <c r="E54" s="6"/>
      <c r="F54" s="6"/>
      <c r="G54" s="6"/>
      <c r="H54" s="3"/>
      <c r="I54" s="3"/>
      <c r="J54" s="3"/>
      <c r="K54" s="2"/>
      <c r="L54" s="2"/>
    </row>
    <row r="55" spans="2:14" ht="18" customHeight="1" x14ac:dyDescent="0.25">
      <c r="B55" s="6"/>
      <c r="C55" s="6"/>
      <c r="D55" s="6"/>
      <c r="E55" s="6"/>
      <c r="F55" s="6"/>
      <c r="G55" s="6"/>
      <c r="H55" s="2"/>
      <c r="I55" s="2"/>
      <c r="J55" s="2"/>
    </row>
    <row r="56" spans="2:14" ht="15" customHeight="1" x14ac:dyDescent="0.25"/>
    <row r="57" spans="2:14" ht="15" customHeight="1" x14ac:dyDescent="0.25"/>
    <row r="58" spans="2:14" ht="15" customHeight="1" x14ac:dyDescent="0.25"/>
    <row r="60" spans="2:14" ht="28.5" customHeight="1" x14ac:dyDescent="0.25"/>
    <row r="61" spans="2:14" ht="28.5" customHeight="1" x14ac:dyDescent="0.25"/>
  </sheetData>
  <mergeCells count="44">
    <mergeCell ref="H53:K53"/>
    <mergeCell ref="D23:G25"/>
    <mergeCell ref="D26:G28"/>
    <mergeCell ref="H43:H45"/>
    <mergeCell ref="B42:G43"/>
    <mergeCell ref="B44:G45"/>
    <mergeCell ref="B23:C25"/>
    <mergeCell ref="B35:C37"/>
    <mergeCell ref="D35:G37"/>
    <mergeCell ref="B26:C28"/>
    <mergeCell ref="B29:C31"/>
    <mergeCell ref="D29:G31"/>
    <mergeCell ref="B38:C40"/>
    <mergeCell ref="D38:G40"/>
    <mergeCell ref="D32:G34"/>
    <mergeCell ref="B1:K1"/>
    <mergeCell ref="B10:C10"/>
    <mergeCell ref="D10:G10"/>
    <mergeCell ref="B2:D5"/>
    <mergeCell ref="B7:C7"/>
    <mergeCell ref="D7:G7"/>
    <mergeCell ref="B8:C8"/>
    <mergeCell ref="D8:G8"/>
    <mergeCell ref="B6:M6"/>
    <mergeCell ref="E2:N2"/>
    <mergeCell ref="E3:N3"/>
    <mergeCell ref="E4:N4"/>
    <mergeCell ref="E5:N5"/>
    <mergeCell ref="B11:C13"/>
    <mergeCell ref="D11:G13"/>
    <mergeCell ref="B14:C16"/>
    <mergeCell ref="B17:C19"/>
    <mergeCell ref="B20:C22"/>
    <mergeCell ref="D14:G16"/>
    <mergeCell ref="D17:G19"/>
    <mergeCell ref="D20:G22"/>
    <mergeCell ref="N49:N50"/>
    <mergeCell ref="B32:C34"/>
    <mergeCell ref="F52:H52"/>
    <mergeCell ref="J51:L51"/>
    <mergeCell ref="J52:L52"/>
    <mergeCell ref="B47:K48"/>
    <mergeCell ref="B49:G50"/>
    <mergeCell ref="N47:N4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rowBreaks count="1" manualBreakCount="1">
    <brk id="52" min="1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341BC-6DED-4408-A6B7-97848178C5AA}">
  <dimension ref="A1:G37"/>
  <sheetViews>
    <sheetView tabSelected="1" view="pageBreakPreview" topLeftCell="A11" zoomScaleNormal="100" zoomScaleSheetLayoutView="100" workbookViewId="0">
      <selection activeCell="F15" sqref="F15"/>
    </sheetView>
  </sheetViews>
  <sheetFormatPr defaultRowHeight="15" x14ac:dyDescent="0.25"/>
  <cols>
    <col min="2" max="2" width="25" bestFit="1" customWidth="1"/>
    <col min="3" max="3" width="11.140625" customWidth="1"/>
    <col min="4" max="4" width="9.5703125" customWidth="1"/>
    <col min="5" max="5" width="11.42578125" customWidth="1"/>
    <col min="6" max="6" width="27.42578125" customWidth="1"/>
    <col min="7" max="7" width="11.7109375" customWidth="1"/>
  </cols>
  <sheetData>
    <row r="1" spans="1:7" x14ac:dyDescent="0.25">
      <c r="A1" s="193"/>
      <c r="B1" s="193"/>
    </row>
    <row r="2" spans="1:7" ht="86.25" customHeight="1" x14ac:dyDescent="0.25">
      <c r="A2" s="193"/>
      <c r="B2" s="193"/>
    </row>
    <row r="3" spans="1:7" x14ac:dyDescent="0.25">
      <c r="B3" s="262" t="s">
        <v>42</v>
      </c>
      <c r="C3" s="262"/>
      <c r="D3" s="262"/>
      <c r="E3" s="262"/>
      <c r="F3" s="262"/>
    </row>
    <row r="5" spans="1:7" ht="28.5" customHeight="1" x14ac:dyDescent="0.25">
      <c r="A5" s="51"/>
      <c r="B5" s="52" t="s">
        <v>14</v>
      </c>
      <c r="C5" s="263" t="s">
        <v>77</v>
      </c>
      <c r="D5" s="264"/>
      <c r="E5" s="264"/>
      <c r="F5" s="265"/>
      <c r="G5" s="51"/>
    </row>
    <row r="6" spans="1:7" ht="28.5" customHeight="1" x14ac:dyDescent="0.25">
      <c r="A6" s="51"/>
      <c r="B6" s="52" t="s">
        <v>15</v>
      </c>
      <c r="C6" s="266" t="s">
        <v>78</v>
      </c>
      <c r="D6" s="267"/>
      <c r="E6" s="267"/>
      <c r="F6" s="268"/>
      <c r="G6" s="51"/>
    </row>
    <row r="7" spans="1:7" x14ac:dyDescent="0.25">
      <c r="A7" s="51"/>
      <c r="B7" s="53"/>
      <c r="C7" s="54"/>
      <c r="D7" s="55"/>
      <c r="E7" s="55"/>
      <c r="F7" s="55"/>
      <c r="G7" s="51"/>
    </row>
    <row r="8" spans="1:7" x14ac:dyDescent="0.25">
      <c r="A8" s="51"/>
      <c r="B8" s="53" t="s">
        <v>43</v>
      </c>
      <c r="C8" s="56">
        <v>1</v>
      </c>
      <c r="D8" s="57">
        <f>IF(C8&gt;0,IF(C8&lt;7,,"&lt;--- Insira valor entre 1 e 6"),"&lt;--- Insira valor entre 1 e 6")</f>
        <v>0</v>
      </c>
      <c r="E8" s="51"/>
      <c r="F8" s="58"/>
      <c r="G8" s="51"/>
    </row>
    <row r="9" spans="1:7" x14ac:dyDescent="0.25">
      <c r="A9" s="51"/>
      <c r="B9" s="59" t="s">
        <v>44</v>
      </c>
      <c r="C9" s="60">
        <v>1</v>
      </c>
      <c r="D9" s="269" t="s">
        <v>45</v>
      </c>
      <c r="E9" s="270"/>
      <c r="F9" s="271"/>
      <c r="G9" s="51"/>
    </row>
    <row r="10" spans="1:7" ht="25.5" x14ac:dyDescent="0.25">
      <c r="A10" s="51"/>
      <c r="B10" s="59" t="s">
        <v>46</v>
      </c>
      <c r="C10" s="60">
        <v>2</v>
      </c>
      <c r="D10" s="61" t="s">
        <v>47</v>
      </c>
      <c r="E10" s="62" t="s">
        <v>48</v>
      </c>
      <c r="F10" s="63"/>
      <c r="G10" s="51"/>
    </row>
    <row r="11" spans="1:7" ht="51" x14ac:dyDescent="0.25">
      <c r="A11" s="51"/>
      <c r="B11" s="59" t="s">
        <v>49</v>
      </c>
      <c r="C11" s="60">
        <v>3</v>
      </c>
      <c r="D11" s="64"/>
      <c r="E11" s="65" t="s">
        <v>50</v>
      </c>
      <c r="F11" s="66"/>
      <c r="G11" s="51"/>
    </row>
    <row r="12" spans="1:7" ht="51" x14ac:dyDescent="0.25">
      <c r="A12" s="51"/>
      <c r="B12" s="59" t="s">
        <v>51</v>
      </c>
      <c r="C12" s="60">
        <v>4</v>
      </c>
      <c r="D12" s="272" t="s">
        <v>52</v>
      </c>
      <c r="E12" s="273"/>
      <c r="F12" s="274"/>
      <c r="G12" s="51"/>
    </row>
    <row r="13" spans="1:7" ht="25.5" x14ac:dyDescent="0.25">
      <c r="A13" s="51"/>
      <c r="B13" s="59" t="s">
        <v>53</v>
      </c>
      <c r="C13" s="67">
        <v>5</v>
      </c>
      <c r="D13" s="68" t="s">
        <v>75</v>
      </c>
      <c r="E13" s="62" t="s">
        <v>54</v>
      </c>
      <c r="F13" s="63"/>
      <c r="G13" s="51"/>
    </row>
    <row r="14" spans="1:7" ht="25.5" x14ac:dyDescent="0.25">
      <c r="A14" s="51"/>
      <c r="B14" s="59" t="s">
        <v>55</v>
      </c>
      <c r="C14" s="67">
        <v>6</v>
      </c>
      <c r="D14" s="69"/>
      <c r="E14" s="65" t="s">
        <v>56</v>
      </c>
      <c r="F14" s="66"/>
      <c r="G14" s="51"/>
    </row>
    <row r="15" spans="1:7" x14ac:dyDescent="0.25">
      <c r="A15" s="51"/>
      <c r="B15" s="70"/>
      <c r="C15" s="51"/>
      <c r="D15" s="51"/>
      <c r="E15" s="51"/>
      <c r="F15" s="58"/>
      <c r="G15" s="51"/>
    </row>
    <row r="16" spans="1:7" ht="15.75" x14ac:dyDescent="0.25">
      <c r="A16" s="10"/>
      <c r="B16" s="2"/>
      <c r="C16" s="259" t="s">
        <v>57</v>
      </c>
      <c r="D16" s="260"/>
      <c r="E16" s="261"/>
      <c r="F16" s="2"/>
      <c r="G16" s="10"/>
    </row>
    <row r="17" spans="1:7" ht="31.5" x14ac:dyDescent="0.25">
      <c r="A17" s="71"/>
      <c r="B17" s="72" t="s">
        <v>58</v>
      </c>
      <c r="C17" s="72" t="s">
        <v>59</v>
      </c>
      <c r="D17" s="72" t="s">
        <v>60</v>
      </c>
      <c r="E17" s="72" t="s">
        <v>61</v>
      </c>
      <c r="F17" s="72" t="s">
        <v>62</v>
      </c>
      <c r="G17" s="71"/>
    </row>
    <row r="18" spans="1:7" ht="15.75" x14ac:dyDescent="0.25">
      <c r="A18" s="71"/>
      <c r="B18" s="72"/>
      <c r="C18" s="73">
        <f>IF($C$8=1,([1]Plan1!C2),IF($C$8=2,([1]Plan1!C11),IF($C$8=3,([1]Plan1!C20),IF($C$8=4,([1]Plan1!C29),IF($C$8=5,([1]Plan1!C38),IF($C$8=6,([1]Plan1!C47)))))))</f>
        <v>0.20430000000000001</v>
      </c>
      <c r="D18" s="73">
        <f>IF($C$8=1,([1]Plan1!D2),IF($C$8=2,([1]Plan1!D11),IF($C$8=3,([1]Plan1!D20),IF($C$8=4,([1]Plan1!D29),IF($C$8=5,([1]Plan1!D38),IF($C$8=6,([1]Plan1!D47)))))))</f>
        <v>0.22120000000000001</v>
      </c>
      <c r="E18" s="73">
        <f>IF($C$8=1,([1]Plan1!E2),IF($C$8=2,([1]Plan1!E11),IF($C$8=3,([1]Plan1!E20),IF($C$8=4,([1]Plan1!E29),IF($C$8=5,([1]Plan1!E38),IF($C$8=6,([1]Plan1!E47)))))))</f>
        <v>0.25</v>
      </c>
      <c r="F18" s="72"/>
      <c r="G18" s="71"/>
    </row>
    <row r="19" spans="1:7" ht="15.75" x14ac:dyDescent="0.25">
      <c r="A19" s="10"/>
      <c r="B19" s="74" t="s">
        <v>63</v>
      </c>
      <c r="C19" s="75">
        <f>IF($C$8=1,([1]Plan1!C3),IF($C$8=2,([1]Plan1!C12),IF($C$8=3,([1]Plan1!C21),IF($C$8=4,([1]Plan1!C30),IF($C$8=5,([1]Plan1!C39),IF($C$8=6,([1]Plan1!C48)))))))</f>
        <v>0.03</v>
      </c>
      <c r="D19" s="75">
        <f>IF($C$8=1,([1]Plan1!D3),IF($C$8=2,([1]Plan1!D12),IF($C$8=3,([1]Plan1!D21),IF($C$8=4,([1]Plan1!D30),IF($C$8=5,([1]Plan1!D39),IF($C$8=6,([1]Plan1!D48)))))))</f>
        <v>0.04</v>
      </c>
      <c r="E19" s="75">
        <f>IF($C$8=1,([1]Plan1!E3),IF($C$8=2,([1]Plan1!E12),IF($C$8=3,([1]Plan1!E21),IF($C$8=4,([1]Plan1!E30),IF($C$8=5,([1]Plan1!E39),IF($C$8=6,([1]Plan1!E48)))))))</f>
        <v>5.5E-2</v>
      </c>
      <c r="F19" s="76">
        <f>D19</f>
        <v>0.04</v>
      </c>
      <c r="G19" s="57" t="str">
        <f>IF(F19=0,"",IF(F19&lt;C19,"Atenção, observar os intervalos!",IF(F19&gt;E19,"Atenção, observar os intervalos!","")))</f>
        <v/>
      </c>
    </row>
    <row r="20" spans="1:7" ht="15.75" x14ac:dyDescent="0.25">
      <c r="A20" s="10"/>
      <c r="B20" s="77" t="s">
        <v>64</v>
      </c>
      <c r="C20" s="78">
        <f>IF($C$8=1,([1]Plan1!C4),IF($C$8=2,([1]Plan1!C13),IF($C$8=3,([1]Plan1!C22),IF($C$8=4,([1]Plan1!C31),IF($C$8=5,([1]Plan1!C40),IF($C$8=6,([1]Plan1!C49)))))))</f>
        <v>8.0000000000000002E-3</v>
      </c>
      <c r="D20" s="78">
        <f>IF($C$8=1,([1]Plan1!D4),IF($C$8=2,([1]Plan1!D13),IF($C$8=3,([1]Plan1!D22),IF($C$8=4,([1]Plan1!D31),IF($C$8=5,([1]Plan1!D40),IF($C$8=6,([1]Plan1!D49)))))))</f>
        <v>8.0000000000000002E-3</v>
      </c>
      <c r="E20" s="78">
        <f>IF($C$8=1,([1]Plan1!E4),IF($C$8=2,([1]Plan1!E13),IF($C$8=3,([1]Plan1!E22),IF($C$8=4,([1]Plan1!E31),IF($C$8=5,([1]Plan1!E40),IF($C$8=6,([1]Plan1!E49)))))))</f>
        <v>0.01</v>
      </c>
      <c r="F20" s="79">
        <f>D20</f>
        <v>8.0000000000000002E-3</v>
      </c>
      <c r="G20" s="57" t="str">
        <f>IF(F20=0,"",IF(F20&lt;C20,"Atenção, observar os intervalos!",IF(F20&gt;E20,"Atenção, observar os intervalos!","")))</f>
        <v/>
      </c>
    </row>
    <row r="21" spans="1:7" ht="15.75" x14ac:dyDescent="0.25">
      <c r="A21" s="10"/>
      <c r="B21" s="77" t="s">
        <v>65</v>
      </c>
      <c r="C21" s="78">
        <f>IF($C$8=1,([1]Plan1!C5),IF($C$8=2,([1]Plan1!C14),IF($C$8=3,([1]Plan1!C23),IF($C$8=4,([1]Plan1!C32),IF($C$8=5,([1]Plan1!C41),IF($C$8=6,([1]Plan1!C50)))))))</f>
        <v>9.7000000000000003E-3</v>
      </c>
      <c r="D21" s="78">
        <f>IF($C$8=1,([1]Plan1!D5),IF($C$8=2,([1]Plan1!D14),IF($C$8=3,([1]Plan1!D23),IF($C$8=4,([1]Plan1!D32),IF($C$8=5,([1]Plan1!D41),IF($C$8=6,([1]Plan1!D50)))))))</f>
        <v>1.2699999999999999E-2</v>
      </c>
      <c r="E21" s="78">
        <f>IF($C$8=1,([1]Plan1!E5),IF($C$8=2,([1]Plan1!E14),IF($C$8=3,([1]Plan1!E23),IF($C$8=4,([1]Plan1!E32),IF($C$8=5,([1]Plan1!E41),IF($C$8=6,([1]Plan1!E50)))))))</f>
        <v>1.2699999999999999E-2</v>
      </c>
      <c r="F21" s="79">
        <f>D21</f>
        <v>1.2699999999999999E-2</v>
      </c>
      <c r="G21" s="57" t="str">
        <f>IF(F21=0,"",IF(F21&lt;C21,"Atenção, observar os intervalos!",IF(F21&gt;E21,"Atenção, observar os intervalos!","")))</f>
        <v/>
      </c>
    </row>
    <row r="22" spans="1:7" ht="15.75" x14ac:dyDescent="0.25">
      <c r="A22" s="10"/>
      <c r="B22" s="77" t="s">
        <v>66</v>
      </c>
      <c r="C22" s="78">
        <f>IF($C$8=1,([1]Plan1!C6),IF($C$8=2,([1]Plan1!C15),IF($C$8=3,([1]Plan1!C24),IF($C$8=4,([1]Plan1!C33),IF($C$8=5,([1]Plan1!C42),IF($C$8=6,([1]Plan1!C51)))))))</f>
        <v>5.8999999999999999E-3</v>
      </c>
      <c r="D22" s="78">
        <f>IF($C$8=1,([1]Plan1!D6),IF($C$8=2,([1]Plan1!D15),IF($C$8=3,([1]Plan1!D24),IF($C$8=4,([1]Plan1!D33),IF($C$8=5,([1]Plan1!D42),IF($C$8=6,([1]Plan1!D51)))))))</f>
        <v>1.23E-2</v>
      </c>
      <c r="E22" s="78">
        <f>IF($C$8=1,([1]Plan1!E6),IF($C$8=2,([1]Plan1!E15),IF($C$8=3,([1]Plan1!E24),IF($C$8=4,([1]Plan1!E33),IF($C$8=5,([1]Plan1!E42),IF($C$8=6,([1]Plan1!E51)))))))</f>
        <v>1.3899999999999999E-2</v>
      </c>
      <c r="F22" s="79">
        <f>D22</f>
        <v>1.23E-2</v>
      </c>
      <c r="G22" s="57" t="str">
        <f>IF(F22=0,"",IF(F22&lt;C22,"Atenção, observar os intervalos!",IF(F22&gt;E22,"Atenção, observar os intervalos!","")))</f>
        <v/>
      </c>
    </row>
    <row r="23" spans="1:7" ht="15.75" x14ac:dyDescent="0.25">
      <c r="A23" s="10"/>
      <c r="B23" s="77" t="s">
        <v>67</v>
      </c>
      <c r="C23" s="78">
        <f>IF($C$8=1,([1]Plan1!C7),IF($C$8=2,([1]Plan1!C16),IF($C$8=3,([1]Plan1!C25),IF($C$8=4,([1]Plan1!C34),IF($C$8=5,([1]Plan1!C43),IF($C$8=6,([1]Plan1!C52)))))))</f>
        <v>6.1600000000000002E-2</v>
      </c>
      <c r="D23" s="78">
        <f>IF($C$8=1,([1]Plan1!D7),IF($C$8=2,([1]Plan1!D16),IF($C$8=3,([1]Plan1!D25),IF($C$8=4,([1]Plan1!D34),IF($C$8=5,([1]Plan1!D43),IF($C$8=6,([1]Plan1!D52)))))))</f>
        <v>7.3999999999999996E-2</v>
      </c>
      <c r="E23" s="78">
        <f>IF($C$8=1,([1]Plan1!E7),IF($C$8=2,([1]Plan1!E16),IF($C$8=3,([1]Plan1!E25),IF($C$8=4,([1]Plan1!E34),IF($C$8=5,([1]Plan1!E43),IF($C$8=6,([1]Plan1!E52)))))))</f>
        <v>8.9599999999999999E-2</v>
      </c>
      <c r="F23" s="79">
        <f>D23</f>
        <v>7.3999999999999996E-2</v>
      </c>
      <c r="G23" s="57" t="str">
        <f>IF(F23=0,"",IF(F23&lt;C23,"Atenção, observar os intervalos!",IF(F23&gt;E23,"Atenção, observar os intervalos!","")))</f>
        <v/>
      </c>
    </row>
    <row r="24" spans="1:7" ht="15.75" x14ac:dyDescent="0.25">
      <c r="A24" s="10"/>
      <c r="B24" s="244" t="s">
        <v>68</v>
      </c>
      <c r="C24" s="245"/>
      <c r="D24" s="245"/>
      <c r="E24" s="246"/>
      <c r="F24" s="80">
        <v>3.6499999999999998E-2</v>
      </c>
      <c r="G24" s="57"/>
    </row>
    <row r="25" spans="1:7" ht="15.75" x14ac:dyDescent="0.25">
      <c r="A25" s="10"/>
      <c r="B25" s="247" t="s">
        <v>69</v>
      </c>
      <c r="C25" s="248"/>
      <c r="D25" s="248"/>
      <c r="E25" s="249"/>
      <c r="F25" s="81">
        <v>0.03</v>
      </c>
      <c r="G25" s="57"/>
    </row>
    <row r="26" spans="1:7" ht="16.5" thickBot="1" x14ac:dyDescent="0.3">
      <c r="A26" s="10"/>
      <c r="B26" s="250" t="s">
        <v>70</v>
      </c>
      <c r="C26" s="251"/>
      <c r="D26" s="251"/>
      <c r="E26" s="252"/>
      <c r="F26" s="82">
        <v>4.4999999999999998E-2</v>
      </c>
      <c r="G26" s="57"/>
    </row>
    <row r="27" spans="1:7" x14ac:dyDescent="0.25">
      <c r="A27" s="10"/>
      <c r="B27" s="10"/>
      <c r="C27" s="10"/>
      <c r="D27" s="10"/>
      <c r="E27" s="10"/>
      <c r="F27" s="2"/>
      <c r="G27" s="10"/>
    </row>
    <row r="28" spans="1:7" ht="15.75" x14ac:dyDescent="0.25">
      <c r="A28" s="10"/>
      <c r="B28" s="253" t="s">
        <v>71</v>
      </c>
      <c r="C28" s="254"/>
      <c r="D28" s="254"/>
      <c r="E28" s="255"/>
      <c r="F28" s="83">
        <f>(1+F19+F20+F21)*(1+F22)*(1+F23)/(1-F24-F25)-1</f>
        <v>0.23535496426352442</v>
      </c>
      <c r="G28" s="57" t="str">
        <f>IF(F28&lt;C18,"ATENÇÃO! BDI inferior ao 1º quartil - OBRIGATÓRIA APRESENTAÇÃO DE JUSTIFICATIVA!",IF(F28&gt;E18,"ATENÇÃO! BDI superior ao 3º quartil - OBRIGATÓRIA APRESENTAÇÃO DE JUSTIFICATIVA!",""))</f>
        <v/>
      </c>
    </row>
    <row r="29" spans="1:7" ht="16.5" thickBot="1" x14ac:dyDescent="0.3">
      <c r="A29" s="10"/>
      <c r="B29" s="256" t="s">
        <v>72</v>
      </c>
      <c r="C29" s="257"/>
      <c r="D29" s="257"/>
      <c r="E29" s="257"/>
      <c r="F29" s="84">
        <f>(1+F19+F20+F21)*(1+F22)*(1+F23)/(1-F24-F25-F26)-1</f>
        <v>0.29792218248733837</v>
      </c>
      <c r="G29" s="85"/>
    </row>
    <row r="30" spans="1:7" x14ac:dyDescent="0.25">
      <c r="A30" s="10"/>
      <c r="B30" s="10"/>
      <c r="C30" s="10"/>
      <c r="D30" s="10"/>
      <c r="E30" s="10"/>
      <c r="F30" s="2"/>
      <c r="G30" s="10"/>
    </row>
    <row r="31" spans="1:7" x14ac:dyDescent="0.25">
      <c r="A31" s="10"/>
      <c r="B31" s="258" t="s">
        <v>73</v>
      </c>
      <c r="C31" s="258"/>
      <c r="D31" s="258"/>
      <c r="E31" s="258"/>
      <c r="F31" s="258"/>
      <c r="G31" s="10"/>
    </row>
    <row r="32" spans="1:7" x14ac:dyDescent="0.25">
      <c r="A32" s="10"/>
      <c r="B32" s="10"/>
      <c r="C32" s="10"/>
      <c r="D32" s="10"/>
      <c r="E32" s="10"/>
      <c r="F32" s="2"/>
      <c r="G32" s="10"/>
    </row>
    <row r="33" spans="1:7" x14ac:dyDescent="0.25">
      <c r="A33" s="10"/>
      <c r="B33" s="243" t="s">
        <v>74</v>
      </c>
      <c r="C33" s="243"/>
      <c r="D33" s="243"/>
      <c r="E33" s="243"/>
      <c r="F33" s="243"/>
      <c r="G33" s="10"/>
    </row>
    <row r="34" spans="1:7" x14ac:dyDescent="0.25">
      <c r="A34" s="10"/>
      <c r="B34" s="10"/>
      <c r="C34" s="10"/>
      <c r="D34" s="10"/>
      <c r="E34" s="10"/>
      <c r="F34" s="86"/>
      <c r="G34" s="10"/>
    </row>
    <row r="35" spans="1:7" x14ac:dyDescent="0.25">
      <c r="A35" s="70" t="s">
        <v>580</v>
      </c>
      <c r="B35" s="10"/>
      <c r="C35" s="10"/>
      <c r="D35" s="10"/>
      <c r="E35" s="10"/>
      <c r="F35" s="2"/>
      <c r="G35" s="10"/>
    </row>
    <row r="36" spans="1:7" x14ac:dyDescent="0.25">
      <c r="A36" s="10"/>
      <c r="B36" s="10"/>
      <c r="C36" s="10"/>
      <c r="D36" s="10"/>
      <c r="E36" s="10"/>
      <c r="F36" s="2"/>
      <c r="G36" s="10"/>
    </row>
    <row r="37" spans="1:7" x14ac:dyDescent="0.25">
      <c r="A37" s="10"/>
      <c r="B37" s="87"/>
      <c r="C37" s="87"/>
      <c r="D37" s="88"/>
      <c r="E37" s="10"/>
      <c r="F37" s="2"/>
      <c r="G37" s="10"/>
    </row>
  </sheetData>
  <mergeCells count="14">
    <mergeCell ref="A1:B2"/>
    <mergeCell ref="B33:F33"/>
    <mergeCell ref="B24:E24"/>
    <mergeCell ref="B25:E25"/>
    <mergeCell ref="B26:E26"/>
    <mergeCell ref="B28:E28"/>
    <mergeCell ref="B29:E29"/>
    <mergeCell ref="B31:F31"/>
    <mergeCell ref="C16:E16"/>
    <mergeCell ref="B3:F3"/>
    <mergeCell ref="C5:F5"/>
    <mergeCell ref="C6:F6"/>
    <mergeCell ref="D9:F9"/>
    <mergeCell ref="D12:F12"/>
  </mergeCells>
  <conditionalFormatting sqref="B9:C14">
    <cfRule type="expression" dxfId="11" priority="10" stopIfTrue="1">
      <formula>$C$8=0</formula>
    </cfRule>
    <cfRule type="expression" dxfId="10" priority="10" stopIfTrue="1">
      <formula>$C$8&gt;6</formula>
    </cfRule>
    <cfRule type="expression" dxfId="9" priority="10" stopIfTrue="1">
      <formula>$C9&lt;&gt;$C$8</formula>
    </cfRule>
  </conditionalFormatting>
  <conditionalFormatting sqref="B26:E26">
    <cfRule type="expression" dxfId="8" priority="12" stopIfTrue="1">
      <formula>$D$14&lt;&gt;0</formula>
    </cfRule>
  </conditionalFormatting>
  <conditionalFormatting sqref="B29:F29">
    <cfRule type="expression" dxfId="7" priority="15" stopIfTrue="1">
      <formula>$D$14&lt;&gt;0</formula>
    </cfRule>
  </conditionalFormatting>
  <conditionalFormatting sqref="B33:F33">
    <cfRule type="expression" dxfId="6" priority="17" stopIfTrue="1">
      <formula>$D$14&lt;&gt;0</formula>
    </cfRule>
  </conditionalFormatting>
  <conditionalFormatting sqref="E10">
    <cfRule type="expression" dxfId="5" priority="9" stopIfTrue="1">
      <formula>$D$11&lt;&gt;0</formula>
    </cfRule>
  </conditionalFormatting>
  <conditionalFormatting sqref="E11">
    <cfRule type="expression" dxfId="4" priority="8" stopIfTrue="1">
      <formula>$D$11&lt;&gt;0</formula>
    </cfRule>
  </conditionalFormatting>
  <conditionalFormatting sqref="E13 B28:F28">
    <cfRule type="expression" dxfId="3" priority="7" stopIfTrue="1">
      <formula>$D$14&lt;&gt;0</formula>
    </cfRule>
  </conditionalFormatting>
  <conditionalFormatting sqref="E14">
    <cfRule type="expression" dxfId="2" priority="14" stopIfTrue="1">
      <formula>$D$14&lt;&gt;0</formula>
    </cfRule>
  </conditionalFormatting>
  <conditionalFormatting sqref="F19:F23">
    <cfRule type="cellIs" dxfId="1" priority="13" stopIfTrue="1" operator="between">
      <formula>$C19</formula>
      <formula>$E19</formula>
    </cfRule>
  </conditionalFormatting>
  <conditionalFormatting sqref="F26">
    <cfRule type="expression" dxfId="0" priority="11" stopIfTrue="1">
      <formula>$D$14&lt;&gt;0</formula>
    </cfRule>
  </conditionalFormatting>
  <pageMargins left="0.511811024" right="0.511811024" top="0.78740157499999996" bottom="0.78740157499999996" header="0.31496062000000002" footer="0.31496062000000002"/>
  <pageSetup paperSize="9" scale="98" orientation="portrait" r:id="rId1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ORÇ.</vt:lpstr>
      <vt:lpstr>CRONO. FIS-FINAN</vt:lpstr>
      <vt:lpstr>BDI</vt:lpstr>
      <vt:lpstr>BDI!Area_de_impressao</vt:lpstr>
      <vt:lpstr>'CRONO. FIS-FINAN'!Area_de_impressao</vt:lpstr>
      <vt:lpstr>ORÇ.!Area_de_impressao</vt:lpstr>
      <vt:lpstr>'CRONO. FIS-FINAN'!Titulos_de_impressao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Donisete Dias Junior</dc:creator>
  <cp:lastModifiedBy>Ayltom Martins Júnior</cp:lastModifiedBy>
  <cp:lastPrinted>2025-01-08T19:42:13Z</cp:lastPrinted>
  <dcterms:created xsi:type="dcterms:W3CDTF">2021-11-17T15:03:03Z</dcterms:created>
  <dcterms:modified xsi:type="dcterms:W3CDTF">2025-02-05T14:12:30Z</dcterms:modified>
</cp:coreProperties>
</file>